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карантин 2020\Регион Энерго\САЙТ\19 с качество и надежность\"/>
    </mc:Choice>
  </mc:AlternateContent>
  <bookViews>
    <workbookView xWindow="0" yWindow="0" windowWidth="18672" windowHeight="9324" tabRatio="847" firstSheet="1" activeTab="12"/>
  </bookViews>
  <sheets>
    <sheet name="1.Общая инф" sheetId="21" r:id="rId1"/>
    <sheet name="1.4." sheetId="4" r:id="rId2"/>
    <sheet name="2.1." sheetId="5" r:id="rId3"/>
    <sheet name="2.2." sheetId="6" r:id="rId4"/>
    <sheet name="2.3." sheetId="7" r:id="rId5"/>
    <sheet name="2.4." sheetId="9" r:id="rId6"/>
    <sheet name="3.1." sheetId="10" r:id="rId7"/>
    <sheet name="3.2." sheetId="11" r:id="rId8"/>
    <sheet name="3.3." sheetId="12" r:id="rId9"/>
    <sheet name="3.4." sheetId="13" r:id="rId10"/>
    <sheet name="3.5. " sheetId="20" r:id="rId11"/>
    <sheet name="4.1." sheetId="15" r:id="rId12"/>
    <sheet name="4.2." sheetId="17" r:id="rId13"/>
    <sheet name="4.3." sheetId="16" r:id="rId14"/>
    <sheet name="4.4.-4.8." sheetId="18" r:id="rId15"/>
    <sheet name="4.9." sheetId="19" r:id="rId16"/>
  </sheets>
  <definedNames>
    <definedName name="_xlnm.Print_Area" localSheetId="4">'2.3.'!$A$1:$C$14</definedName>
    <definedName name="_xlnm.Print_Area" localSheetId="6">'3.1.'!$A$1:$E$93</definedName>
    <definedName name="_xlnm.Print_Area" localSheetId="7">'3.2.'!$A$1:$J$7</definedName>
    <definedName name="_xlnm.Print_Area" localSheetId="8">'3.3.'!$A$1:$J$5</definedName>
    <definedName name="_xlnm.Print_Area" localSheetId="9">'3.4.'!$A$1:$R$18</definedName>
    <definedName name="_xlnm.Print_Area" localSheetId="14">'4.4.-4.8.'!$A$1:$N$25</definedName>
    <definedName name="_xlnm.Print_Area" localSheetId="15">'4.9.'!$A$1:$AE$16</definedName>
  </definedNames>
  <calcPr calcId="152511"/>
</workbook>
</file>

<file path=xl/calcChain.xml><?xml version="1.0" encoding="utf-8"?>
<calcChain xmlns="http://schemas.openxmlformats.org/spreadsheetml/2006/main">
  <c r="A25" i="18" l="1"/>
  <c r="E93" i="10"/>
  <c r="D93" i="10"/>
  <c r="E89" i="10"/>
  <c r="D89" i="10"/>
  <c r="B74" i="10"/>
  <c r="N33" i="21" l="1"/>
  <c r="N32" i="21"/>
  <c r="O30" i="21"/>
  <c r="N30" i="21"/>
  <c r="M30" i="21"/>
  <c r="O29" i="21"/>
  <c r="N29" i="21"/>
  <c r="M29" i="21"/>
  <c r="I30" i="21"/>
  <c r="J30" i="21"/>
  <c r="K30" i="21"/>
  <c r="H30" i="21"/>
  <c r="M17" i="21" l="1"/>
  <c r="N53" i="21"/>
  <c r="N51" i="21"/>
  <c r="O50" i="21"/>
  <c r="N50" i="21"/>
  <c r="C10" i="4" l="1"/>
  <c r="D10" i="4"/>
  <c r="E10" i="4"/>
  <c r="B10" i="4"/>
  <c r="C9" i="4"/>
  <c r="D9" i="4"/>
  <c r="E9" i="4"/>
  <c r="B9" i="4"/>
  <c r="N43" i="21"/>
  <c r="N41" i="21"/>
  <c r="N40" i="21"/>
  <c r="O40" i="21"/>
  <c r="Q41" i="21" l="1"/>
  <c r="Q40" i="21"/>
  <c r="Q33" i="21"/>
  <c r="Q30" i="21"/>
  <c r="Q22" i="21"/>
  <c r="Q18" i="21"/>
  <c r="Q23" i="21" s="1"/>
  <c r="Q34" i="21" l="1"/>
  <c r="Q42" i="21"/>
  <c r="E17" i="19" l="1"/>
  <c r="K23" i="20"/>
  <c r="K22" i="20"/>
  <c r="J23" i="20"/>
  <c r="J22" i="20"/>
  <c r="K21" i="20"/>
  <c r="K20" i="20"/>
  <c r="J21" i="20"/>
  <c r="J20" i="20"/>
  <c r="K19" i="20"/>
  <c r="K18" i="20"/>
  <c r="J19" i="20"/>
  <c r="J18" i="20"/>
  <c r="K17" i="20"/>
  <c r="K16" i="20"/>
  <c r="J17" i="20"/>
  <c r="J16" i="20"/>
  <c r="K15" i="20"/>
  <c r="K14" i="20"/>
  <c r="J15" i="20"/>
  <c r="J14" i="20"/>
  <c r="K13" i="20"/>
  <c r="K12" i="20"/>
  <c r="J13" i="20"/>
  <c r="J12" i="20"/>
  <c r="K11" i="20"/>
  <c r="K10" i="20"/>
  <c r="J9" i="20"/>
  <c r="J11" i="20"/>
  <c r="J10" i="20"/>
  <c r="K9" i="20"/>
  <c r="K8" i="20"/>
  <c r="J8" i="20"/>
  <c r="I23" i="20"/>
  <c r="I22" i="20"/>
  <c r="H23" i="20"/>
  <c r="H22" i="20"/>
  <c r="I21" i="20"/>
  <c r="I20" i="20"/>
  <c r="H21" i="20"/>
  <c r="H20" i="20"/>
  <c r="I19" i="20"/>
  <c r="I18" i="20"/>
  <c r="H19" i="20"/>
  <c r="H18" i="20"/>
  <c r="I17" i="20"/>
  <c r="I16" i="20"/>
  <c r="H17" i="20"/>
  <c r="H16" i="20"/>
  <c r="I15" i="20"/>
  <c r="I14" i="20"/>
  <c r="H15" i="20"/>
  <c r="H14" i="20"/>
  <c r="H13" i="20" l="1"/>
  <c r="H12" i="20"/>
  <c r="I13" i="20"/>
  <c r="I12" i="20"/>
  <c r="I11" i="20"/>
  <c r="I10" i="20"/>
  <c r="H11" i="20"/>
  <c r="H10" i="20"/>
  <c r="I9" i="20"/>
  <c r="I8" i="20"/>
  <c r="H9" i="20"/>
  <c r="H8" i="20"/>
  <c r="G21" i="20"/>
  <c r="G20" i="20"/>
  <c r="G17" i="20"/>
  <c r="G16" i="20"/>
  <c r="G13" i="20"/>
  <c r="G12" i="20"/>
  <c r="F21" i="20"/>
  <c r="F20" i="20"/>
  <c r="F17" i="20"/>
  <c r="F16" i="20"/>
  <c r="F13" i="20"/>
  <c r="F12" i="20"/>
  <c r="G23" i="20"/>
  <c r="F23" i="20"/>
  <c r="G22" i="20"/>
  <c r="F22" i="20"/>
  <c r="G19" i="20"/>
  <c r="F19" i="20"/>
  <c r="G18" i="20"/>
  <c r="F18" i="20"/>
  <c r="G15" i="20"/>
  <c r="F15" i="20"/>
  <c r="G14" i="20"/>
  <c r="F14" i="20"/>
  <c r="E23" i="20"/>
  <c r="E22" i="20"/>
  <c r="D23" i="20"/>
  <c r="D22" i="20"/>
  <c r="E21" i="20"/>
  <c r="E20" i="20"/>
  <c r="D21" i="20"/>
  <c r="D20" i="20"/>
  <c r="E19" i="20"/>
  <c r="E18" i="20"/>
  <c r="D19" i="20"/>
  <c r="D18" i="20"/>
  <c r="E17" i="20"/>
  <c r="E16" i="20"/>
  <c r="D17" i="20"/>
  <c r="D16" i="20"/>
  <c r="E15" i="20"/>
  <c r="E14" i="20"/>
  <c r="D15" i="20"/>
  <c r="D14" i="20"/>
  <c r="E13" i="20"/>
  <c r="E12" i="20"/>
  <c r="D13" i="20"/>
  <c r="D12" i="20"/>
  <c r="G11" i="20"/>
  <c r="F11" i="20"/>
  <c r="G10" i="20"/>
  <c r="F10" i="20"/>
  <c r="G9" i="20"/>
  <c r="F9" i="20"/>
  <c r="G8" i="20"/>
  <c r="F8" i="20"/>
  <c r="E9" i="20"/>
  <c r="E10" i="20"/>
  <c r="E11" i="20"/>
  <c r="D9" i="20"/>
  <c r="D10" i="20"/>
  <c r="D11" i="20"/>
  <c r="E8" i="20"/>
  <c r="D8" i="20"/>
  <c r="A8" i="19" l="1"/>
  <c r="A9" i="19" s="1"/>
  <c r="A10" i="19" s="1"/>
  <c r="A11" i="19" s="1"/>
  <c r="A12" i="19" s="1"/>
  <c r="A13" i="19" s="1"/>
  <c r="A14" i="19" s="1"/>
  <c r="A15" i="19" s="1"/>
  <c r="A16" i="19" s="1"/>
  <c r="J9" i="6" l="1"/>
  <c r="F9" i="6"/>
  <c r="M4" i="18"/>
  <c r="H9" i="17" l="1"/>
</calcChain>
</file>

<file path=xl/sharedStrings.xml><?xml version="1.0" encoding="utf-8"?>
<sst xmlns="http://schemas.openxmlformats.org/spreadsheetml/2006/main" count="1055" uniqueCount="365">
  <si>
    <t>ВН</t>
  </si>
  <si>
    <t>НН</t>
  </si>
  <si>
    <t>Юридические лица</t>
  </si>
  <si>
    <t>Физические лица</t>
  </si>
  <si>
    <t>1. Общая информация о сетевой организации</t>
  </si>
  <si>
    <t>-</t>
  </si>
  <si>
    <t>Показатель</t>
  </si>
  <si>
    <t>Теплоснабжения</t>
  </si>
  <si>
    <t>Водоснабжения</t>
  </si>
  <si>
    <t>Водоотведения</t>
  </si>
  <si>
    <t>Газоснабжения</t>
  </si>
  <si>
    <t>Электроснабжения</t>
  </si>
  <si>
    <t>Уровень бухгалтерского износа объектов коммунальной инфраструктуры (проценты)</t>
  </si>
  <si>
    <t>в т.ч. износ сетей (проценты)</t>
  </si>
  <si>
    <t>Уровень физического износа объектов коммунальной инфраструктуры (проценты)</t>
  </si>
  <si>
    <t>Экспертиза физического износа не проводилась</t>
  </si>
  <si>
    <t>СН1</t>
  </si>
  <si>
    <t>СН2</t>
  </si>
  <si>
    <t>Значение показателя, годы</t>
  </si>
  <si>
    <t>Динамика изменения показателя</t>
  </si>
  <si>
    <t>Показатель средней продолжительности прекращений передачи электрической энергии (                 )</t>
  </si>
  <si>
    <t>1.1</t>
  </si>
  <si>
    <t>ВН (110 кВ и выше)</t>
  </si>
  <si>
    <t>1.2</t>
  </si>
  <si>
    <t>СН1 (35 - 60 кВ)</t>
  </si>
  <si>
    <t>1.3</t>
  </si>
  <si>
    <t>СН2 (1 - 20 кВ)</t>
  </si>
  <si>
    <t>1.4</t>
  </si>
  <si>
    <t>НН (до 1 кВ)</t>
  </si>
  <si>
    <t>Показатель средней частоты прекращений передачи электрической энергии (              )</t>
  </si>
  <si>
    <t>2.1</t>
  </si>
  <si>
    <t>2.2</t>
  </si>
  <si>
    <t>2.3</t>
  </si>
  <si>
    <t>2.4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</si>
  <si>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      )</t>
  </si>
  <si>
    <t>3.1</t>
  </si>
  <si>
    <t>3.2</t>
  </si>
  <si>
    <t>3.3</t>
  </si>
  <si>
    <t>3.4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</si>
  <si>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 (                       )</t>
  </si>
  <si>
    <t>4.1</t>
  </si>
  <si>
    <t>4.2</t>
  </si>
  <si>
    <t>4.3</t>
  </si>
  <si>
    <t>4.4</t>
  </si>
  <si>
    <t>Количество случаев нарушения качества электрической энергии, подтвержденных актами контролирующих организаций и (или) решениями суда, штуки</t>
  </si>
  <si>
    <t>5.1</t>
  </si>
  <si>
    <t>В том числе количество случаев нарушения качества электрической энергии по вине сетевой организации, подтвержденных актами контролирующих организаций и (или) решениями суда, штуки</t>
  </si>
  <si>
    <t>2. Информация о качестве услуг по передаче электрической энергии</t>
  </si>
  <si>
    <t>п. 1.4.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объектов.</t>
  </si>
  <si>
    <t>п. 2.1. Показатели качества услуг по передаче электрической энергии в целом по сетевой организации в отчетном периоде, а также динамика по отношению к году, предшествующему отчетному.</t>
  </si>
  <si>
    <t>№</t>
  </si>
  <si>
    <t>Структурная единица сетевой организации</t>
  </si>
  <si>
    <t>Показатель средней продолжительности прекращений передачи электрической энергии, </t>
  </si>
  <si>
    <t>Показатель средней частоты прекращений передачи электрической энергии, </t>
  </si>
  <si>
    <t>Показатель средней продолжительности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</si>
  <si>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средней частоты прекращений передачи электрической энергии, связанных с проведением ремонтных работ на объектах электросетевого хозяйства сетевой организации (смежной сетевой организации, иных владельцев объектов электросетевого хозяйства),</t>
  </si>
  <si>
    <t>Показатель качества оказания услуг по передаче электрической энергии (отношение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потребителей, обслуживаемых такой структурной единицей сетевой организации в отчетном периоде)</t>
  </si>
  <si>
    <t>Планируемые мероприятия, направленные на повышение качества оказания услуг по передаче электроэнергии, с указанием сроков</t>
  </si>
  <si>
    <t>Всего по сетевой организации</t>
  </si>
  <si>
    <t>п. 2.2. Рейтинг структурных единиц сетевой организации по качеству оказания услуг по передаче электрической энергии, а также по качеству электрической энергии в отчетном периоде.</t>
  </si>
  <si>
    <t>№№</t>
  </si>
  <si>
    <t>3. Информация о качестве услуг по технологическому присоединению</t>
  </si>
  <si>
    <t>Прочей информации организация не имеет.</t>
  </si>
  <si>
    <t>п. 3.1. Информация о наличии невостребованной мощности</t>
  </si>
  <si>
    <t>п. 3.3. Прочая информация, которую сетевая организация считает целесообразной для включения в отчет, касающаяся предоставления услуг по технологическому присоединению, заполняется в произвольной форме.</t>
  </si>
  <si>
    <t>Категория присоединения потребителей услуг по передаче электрической энергии в разбивке по мощности, в динамике по годам</t>
  </si>
  <si>
    <t>Всего</t>
  </si>
  <si>
    <t>до 15 кВт включительно</t>
  </si>
  <si>
    <t>свыше 15 кВт и до 150 кВт
включительно</t>
  </si>
  <si>
    <t>свыше 150 кВт и менее 670 кВт</t>
  </si>
  <si>
    <t>не менее 670 кВт</t>
  </si>
  <si>
    <t>объекты по производству электрической энергии</t>
  </si>
  <si>
    <t>Динамика изменения показателя, %</t>
  </si>
  <si>
    <t>1.</t>
  </si>
  <si>
    <t>Число заявок на технологическое присоединение, поданных заявителями, штуки</t>
  </si>
  <si>
    <t>2.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</si>
  <si>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сетям, штуки</t>
  </si>
  <si>
    <t>3.</t>
  </si>
  <si>
    <t>Число заявок на технологическое присоединение, по которым направлен проект договора об осуществлении технологического присоединения к электрическим сетям с нарушением сроков, подтвержденным актами контролирующих организаций и (или) решениями суда, штуки, в том числе:</t>
  </si>
  <si>
    <t>по вине сетевой организации</t>
  </si>
  <si>
    <t>по вине сторонних лиц</t>
  </si>
  <si>
    <t>4</t>
  </si>
  <si>
    <t>Средняя продолжительность подготовки и направления проекта договора об осуществлении технологического присоединения к электрическим сетям, дней</t>
  </si>
  <si>
    <t>5</t>
  </si>
  <si>
    <t>Число заключенных договоров об осуществлении технологического присоединения к электрическим сетям, штуки</t>
  </si>
  <si>
    <t>6</t>
  </si>
  <si>
    <t>Число исполненных договоров об осуществлении технологического присоединения к электрическим сетям, штуки</t>
  </si>
  <si>
    <t>7</t>
  </si>
  <si>
    <t>Число исполненных договоров об осуществлении технологического присоединения к электрическим сетям, по которым произошло нарушение сроков, подтвержденное актами контролирующих организаций и (или) решениями суда, штуки, в том числе:</t>
  </si>
  <si>
    <t>7.1</t>
  </si>
  <si>
    <t>7.2</t>
  </si>
  <si>
    <t>8</t>
  </si>
  <si>
    <t>Средняя продолжительность исполнения договоров об осуществлении технологического присоединения к электрическим сетям, дней</t>
  </si>
  <si>
    <t>п. 3.4. Сведения о качестве услуг по технологическому присоединению к электрическим сетям сетевой организации.</t>
  </si>
  <si>
    <t>Мощность энергопринимающих устройств заявителя, кВт</t>
  </si>
  <si>
    <t>Категория надежности</t>
  </si>
  <si>
    <t>I - II</t>
  </si>
  <si>
    <t>III</t>
  </si>
  <si>
    <t>Расстояние до границ земельного участка заявителя, м</t>
  </si>
  <si>
    <t>Необходимость строительства подстанции</t>
  </si>
  <si>
    <t>Тип линии</t>
  </si>
  <si>
    <t>Да</t>
  </si>
  <si>
    <t>КЛ</t>
  </si>
  <si>
    <t>ВЛ</t>
  </si>
  <si>
    <t>Нет</t>
  </si>
  <si>
    <t>п. 3.5. Стоимость технологического присоединения к электрическим сетям сетевой организации (не заполняется, в случае наличия на официальном сайте сетевой организации в сети Интернет интерактивного инструмента, который позволяет автоматически рассчитывать стоимость технологического присоединения при вводе параметров, предусмотренных настоящим пунктом).</t>
  </si>
  <si>
    <t>4. Качество обслуживания</t>
  </si>
  <si>
    <t>Категории обращений потребителей</t>
  </si>
  <si>
    <t>Формы обслуживания</t>
  </si>
  <si>
    <t>Очная форма</t>
  </si>
  <si>
    <t>Заочная форма с использованием телефонной связи</t>
  </si>
  <si>
    <t>Электронная форма с использованием сети Интернет</t>
  </si>
  <si>
    <t>Письменная форма с использованием почтовой связи</t>
  </si>
  <si>
    <t>Прочее</t>
  </si>
  <si>
    <t>1</t>
  </si>
  <si>
    <t>Всего обращений потребителей, в том числе: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</si>
  <si>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</si>
  <si>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</si>
  <si>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</si>
  <si>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</t>
  </si>
  <si>
    <t>1.5</t>
  </si>
  <si>
    <t>техническое обслуживание электросетевых объектов</t>
  </si>
  <si>
    <t>1.6</t>
  </si>
  <si>
    <t>прочее (указать)</t>
  </si>
  <si>
    <t>2</t>
  </si>
  <si>
    <t>Жалобы</t>
  </si>
  <si>
    <t>оказание услуг по передаче электрической энергии, в том числе:</t>
  </si>
  <si>
    <t>2.1.1</t>
  </si>
  <si>
    <t>качество услуг по передаче электрической энергии</t>
  </si>
  <si>
    <t>2.1.2</t>
  </si>
  <si>
    <t>качество электрической энергии</t>
  </si>
  <si>
    <t>2.5</t>
  </si>
  <si>
    <t>техническое обслуживание объектов электросетевого хозяйства</t>
  </si>
  <si>
    <t>2.6</t>
  </si>
  <si>
    <t>Заявка на оказание услуг</t>
  </si>
  <si>
    <t>по технологическому присоединению</t>
  </si>
  <si>
    <t>на заключение договора на оказание услуг по передаче электрической энергии</t>
  </si>
  <si>
    <t>организация коммерческого учета электрической энергии</t>
  </si>
  <si>
    <t>п. 4.1. Количество обращений, поступивших в сетевую организацию (всего), обращений, содержащих жалобу и (или) обращений, содержащих заявку на оказание услуг, поступивших в сетевую организацию, а также количество обращений, по которым были заключены договоры об осуществлении технологического присоединения и (или) договоры об оказании услуг по передаче электрической энергии, а также по которым были урегулированы жалобы в отчетном периоде, а также динамика по отношению к году, предшествующему отчетному.</t>
  </si>
  <si>
    <t>Офис обслуживания потребителей</t>
  </si>
  <si>
    <t>Тип офиса</t>
  </si>
  <si>
    <t>Адрес местонахождения</t>
  </si>
  <si>
    <t>Номер телефона, адрес электронной почты</t>
  </si>
  <si>
    <t>Режим работы</t>
  </si>
  <si>
    <t>Предоставляемые услуги</t>
  </si>
  <si>
    <t>Среднее время на обслуживание потребителя, мин.</t>
  </si>
  <si>
    <t>Среднее время ожидания потребителя в очереди, мин.</t>
  </si>
  <si>
    <t>Количество сторонних организаций на территории офиса обслуживания (при наличии указать названия организаций)</t>
  </si>
  <si>
    <t>п. 4.2.  Информация о деятельности офисов обслуживания потребителей.</t>
  </si>
  <si>
    <t>Наименование</t>
  </si>
  <si>
    <t>Единица измерения</t>
  </si>
  <si>
    <t>номер телефона</t>
  </si>
  <si>
    <t>Общее число телефонных вызовов от потребителей по выделенным номерам телефонов</t>
  </si>
  <si>
    <t>единицы</t>
  </si>
  <si>
    <t>Общее число телефонных вызовов от потребителей, на которые ответил оператор сетевой организации</t>
  </si>
  <si>
    <t>Общее число телефонных вызовов от потребителей, обработанных автоматически системой интерактивного голосового меню</t>
  </si>
  <si>
    <t>3</t>
  </si>
  <si>
    <t>мин.</t>
  </si>
  <si>
    <t>п. 4.3. Информация о заочном обслуживании потребителей посредством телефонной связи.</t>
  </si>
  <si>
    <t>Перечень номеров телефонов, выделенных для обслуживания потребителей:
    Номер телефона по вопросам энергоснабжения:
    Номера телефонов центров обработки телефонных вызовов:</t>
  </si>
  <si>
    <t>Дополнительные услуги организация не оказывает.</t>
  </si>
  <si>
    <t>п. 4.5. Описание дополнительных услуг оказываемых потребителю, помимо услуг, указанных в Единых стандартах качества обслуживания сетевыми организациями потребителей сетевых организаций.</t>
  </si>
  <si>
    <t>п. 4.6.  Мероприятия, направленные на работу с социально уязвимыми группами населения (пенсионеры, инвалиды, многодетные семьи, участники ВОВ  и боевых действий на территориях дркгих государств в соответствии с Федеральных законом от 12.01.95г. № 5-ФЗ "О ветеранах"</t>
  </si>
  <si>
    <t>п. 4.7. Темы и результаты опросов потребителей, проводимых сетевой организацией для выявления мнения потребителей о качестве обслуживания, в рамках исполнения  Единых стандартов качества обслуживания сетевыми организациями потребителей услуг сетевых организаций.</t>
  </si>
  <si>
    <t>п. 4.8. Мероприятия, выполняемые сетевой организацией в целях повышения качества обслуживания потребителей.</t>
  </si>
  <si>
    <t>Идентификационный номер обращения</t>
  </si>
  <si>
    <t>Дата обращения</t>
  </si>
  <si>
    <t>Время обращения</t>
  </si>
  <si>
    <t>Форма обращения</t>
  </si>
  <si>
    <t>Обращения</t>
  </si>
  <si>
    <t>Обращения потребителей, содержащие жалобу</t>
  </si>
  <si>
    <t>Обращения потребителей, содержащие заявку на оказание услуг</t>
  </si>
  <si>
    <t>Факт получения потребителем ответа</t>
  </si>
  <si>
    <t>Мероприятия по результатам обращения</t>
  </si>
  <si>
    <t>Очное обращение</t>
  </si>
  <si>
    <t>Заочное обращение посредством телефонной связи</t>
  </si>
  <si>
    <t>Заочное обращение посредством сети Интернет</t>
  </si>
  <si>
    <t>Письменное обращение посредством почтовой связи</t>
  </si>
  <si>
    <t>Оказание услуг по передаче электрической энергии</t>
  </si>
  <si>
    <t>Осуществление технологического присоединения</t>
  </si>
  <si>
    <t>Коммерческий учет электрической энергии</t>
  </si>
  <si>
    <t>Качество обслуживания потребителей</t>
  </si>
  <si>
    <t>Техническое обслуживание электросетевых объектов
присоединения
электроэнергии</t>
  </si>
  <si>
    <t>Качество услуг по передаче электрической энергии</t>
  </si>
  <si>
    <t>Качество электрической энергии</t>
  </si>
  <si>
    <t>Техническое обслуживание электросетевых объектов</t>
  </si>
  <si>
    <t>По технологическому присоединению</t>
  </si>
  <si>
    <t>Заключение договора на оказание услуг по передаче электроэнергии</t>
  </si>
  <si>
    <t>Организация коммерческого учета электроэнергии</t>
  </si>
  <si>
    <t>Заявителем был получен исчерпывающий ответ в установленные сроки</t>
  </si>
  <si>
    <t>Заявителем был получен исчерпывающий ответ с нарушением сроков</t>
  </si>
  <si>
    <t>Обращение оставлено без ответа</t>
  </si>
  <si>
    <t>Выполненные мероприятия по результатам обращения</t>
  </si>
  <si>
    <t>Планируемые мероприятия по результатам обращения</t>
  </si>
  <si>
    <t>Наименование трансформаторной
 подстанции</t>
  </si>
  <si>
    <t>Местонахождение трансформаторной подстанции</t>
  </si>
  <si>
    <t>Уровень напряжения, 
кВ</t>
  </si>
  <si>
    <t>ТП-3</t>
  </si>
  <si>
    <t>ТП-2</t>
  </si>
  <si>
    <t>ТП-1</t>
  </si>
  <si>
    <t>Перечисленные мероприятия организацией не разрабатываются</t>
  </si>
  <si>
    <t>с 9:00 до 18:00</t>
  </si>
  <si>
    <t>штук.</t>
  </si>
  <si>
    <t>Продолжение п. 4.9</t>
  </si>
  <si>
    <t>300 - сельская местность/200 - городская местность</t>
  </si>
  <si>
    <t>п. 3.2. Мероприятия, выполненные сетевой организацией в целях совершенствования деятельности по технологическому присоединению в 2023 году.</t>
  </si>
  <si>
    <t>п. 4.4. Категория обращений, в которой зарегистрировано наибольшее число обращений всего, обращений, содержащих жалобу, обращений, содержащих заявку на оказание услуг, поступивших в 2023 году, в соответствии с пунктом 4.1 Информации о качестве обслуживания потребителей услуг.</t>
  </si>
  <si>
    <t xml:space="preserve">Наибольшее число обращений, содержащих заявку на оказание услуг, поступивших в 2023 году в количестве </t>
  </si>
  <si>
    <t>Проводится социальный опрос потребителей о качестве обслуживания с 01.01.2023 года, желающих пройти опрос 0,  прошедших 0.</t>
  </si>
  <si>
    <t>п.2.3. Мероприятия, выполненные сетевой организацией в целях повышения качества оказания услуг по передаче электрической энергии в 2023 году</t>
  </si>
  <si>
    <t>Среднее время обработки телефонного вызова от потребителя на выделенные номера телефонов</t>
  </si>
  <si>
    <t>Среднее время ожидания ответа потребителем при телефонном вызове на выделенные номера телефонов</t>
  </si>
  <si>
    <t>Информация об объектах коммунальной и инженерной инфраструктуры за 2023 в сфере электроснабжения ООО "Регион Энерго"</t>
  </si>
  <si>
    <t>не утверждались, долгосрочный период регулирования 2021-2023гг</t>
  </si>
  <si>
    <t>ООО "Регион Энерго"</t>
  </si>
  <si>
    <t>п.2.4. На официальном сайте ООО "Регион энерго" размещена информация по свободной мощности https://www.regionenerg.ru/%d1%80%d0%b0%d1%81%d0%ba%d1%80%d1%8b%d1%82%d0%b8%d0%b5-%d0%b8%d0%bd%d1%84%d0%be%d1%80%d0%bc%d0%b0%d1%86%d0%b8%d0%b8/            Раздел "Раскрытие информации"</t>
  </si>
  <si>
    <t>Количество потребителей, обратившихся очно в 2023г.</t>
  </si>
  <si>
    <t>443041, Самарская область, г.о. Самара, вн. р-н Ленинский, ул. Ленинская, д. 168, помещение H34, комнаты 22, 23, 24, 47, 48</t>
  </si>
  <si>
    <t>Офис органзации</t>
  </si>
  <si>
    <t>8-800-55-14-507
+7 927 6916772                                                                                                                regionener@yandex.ru</t>
  </si>
  <si>
    <t xml:space="preserve">8-800-55-14-507                            </t>
  </si>
  <si>
    <t>передача электрической энергии</t>
  </si>
  <si>
    <t>технологические присоединения к электрическим сетям</t>
  </si>
  <si>
    <t>Регистрация заявок на ТП, информационные услуги</t>
  </si>
  <si>
    <t>п.19 пп.с О качестве обслуживания потребителей услуг сетевой организации</t>
  </si>
  <si>
    <t>Приложение 7 к №186 Приказ Минэнерго России от 15.04.2014 N 186</t>
  </si>
  <si>
    <t>О ЕДИНЫХ СТАНДАРТАХ КАЧЕСТВА ОБСЛУЖИВАНИЯ СЕТЕВЫМИ ОРГАНИЗАЦИЯМИ ПОТРЕБИТЕЛЕЙ УСЛУГ СЕТЕВЫХ ОРГАНИЗАЦИЙ</t>
  </si>
  <si>
    <t xml:space="preserve">              Информация о качестве обслуживания потребителей</t>
  </si>
  <si>
    <t xml:space="preserve">           (наименование сетевой организации)</t>
  </si>
  <si>
    <t>Общая информация о сетевой организации*</t>
  </si>
  <si>
    <t xml:space="preserve"> Количество потребителей услуг сетевой организации (далее - потребители) с разбивкой по уровням напряжения, категориям надежности потребителей и типу потребителей (физические или юридические лица), а также динамика по отношению к году, предшествующему отчетному</t>
  </si>
  <si>
    <t>Потребители</t>
  </si>
  <si>
    <t>Ед. изм.</t>
  </si>
  <si>
    <t>2022г</t>
  </si>
  <si>
    <t>Юридические лица (точки поставки)</t>
  </si>
  <si>
    <t>Категория надежности 1</t>
  </si>
  <si>
    <t>ед.</t>
  </si>
  <si>
    <t>Категория надежности 2</t>
  </si>
  <si>
    <t>Категория надежности 3</t>
  </si>
  <si>
    <t>Физические лица (точки поставки)</t>
  </si>
  <si>
    <t xml:space="preserve"> Количество точек поставки всего и точек поставки, оборудованных приборами учета электрической энергии, с разбивкой: физические лица, юридические лица, вводные устройства (вводно-распределительное устройство, главный распределительный щит) в многоквартирные дома, бесхозяйные объекты электросетевого хозяйства, приборы учета с возможностью дистанционного сбора данных, а также динамика по отношению к году, предшествующему отчетному</t>
  </si>
  <si>
    <t>Количество точек поставки всего</t>
  </si>
  <si>
    <t>в т.ч. оборудованных приборами учета</t>
  </si>
  <si>
    <t xml:space="preserve"> Информация об объектах электросетевого хозяйства сетевой организации: длина воздушных линий (далее - ВЛ) и кабельных линий (далее - КЛ) с разбивкой по уровням напряжения, количество подстанций 110 кВ, 35 кВ, 6(10) кВ в динамике относительно года, предшествующего отчетному, заполняется в произвольной форме.</t>
  </si>
  <si>
    <t>Длина ВЛ, КЛ</t>
  </si>
  <si>
    <t>Воздушные линии (ВЛ)</t>
  </si>
  <si>
    <t>км.</t>
  </si>
  <si>
    <t>Кабельные линии (КЛ)</t>
  </si>
  <si>
    <t>Количество подстанций</t>
  </si>
  <si>
    <t>Подстанции</t>
  </si>
  <si>
    <t>Х</t>
  </si>
  <si>
    <t>* на конец года</t>
  </si>
  <si>
    <t xml:space="preserve">
 Уровень физического износа объектов электросетевого хозяйства сетевой организации с разбивкой по уровням напряжения и по типам оборудования, а также динамика по отношению к году, предшествующему отчетному, заполняется в произвольной форме и выражается в процентах по отношению к нормативному сроку службы объектов
</t>
  </si>
  <si>
    <t>Износ сетей</t>
  </si>
  <si>
    <t>%</t>
  </si>
  <si>
    <t>Износ оборудования</t>
  </si>
  <si>
    <t>Подстанции, ТП, КТП</t>
  </si>
  <si>
    <r>
      <t xml:space="preserve">25. Информация, указанная в подпункте "с" пункта 19 настоящего документа, подлежит опубликованию на официальном сайте сетевой организации или ином официальном сайте в сети "Интернет", определяемом Правительством Российской Федерации, </t>
    </r>
    <r>
      <rPr>
        <b/>
        <sz val="10"/>
        <rFont val="Times New Roman"/>
        <family val="1"/>
        <charset val="204"/>
      </rPr>
      <t>не позднее 1 апреля года</t>
    </r>
    <r>
      <rPr>
        <sz val="10"/>
        <rFont val="Times New Roman"/>
        <family val="1"/>
        <charset val="204"/>
      </rPr>
      <t>, следующего за отчетным годом.</t>
    </r>
  </si>
  <si>
    <t xml:space="preserve">          ООО "Регион Энерго" за 2023 год</t>
  </si>
  <si>
    <t>2023г</t>
  </si>
  <si>
    <t>2023г к 2022г в %</t>
  </si>
  <si>
    <t>2023г*</t>
  </si>
  <si>
    <t>Затраты, тыс.руб. с НДС</t>
  </si>
  <si>
    <t>Наименование мероприятия, объект</t>
  </si>
  <si>
    <t>**Экспертиза физического износа не проводилась</t>
  </si>
  <si>
    <t>2023г**</t>
  </si>
  <si>
    <t>БКТП-1</t>
  </si>
  <si>
    <t>БКТП-2</t>
  </si>
  <si>
    <t>БКТП-3</t>
  </si>
  <si>
    <t>БКТП-4</t>
  </si>
  <si>
    <t>БКТП-5</t>
  </si>
  <si>
    <t>БКТП-6</t>
  </si>
  <si>
    <t>ТП Сад-Г1101/2*1000 (Инкубаторий)</t>
  </si>
  <si>
    <t xml:space="preserve"> ТП Сад-Г1102/2*1000 (Инкубаторий)</t>
  </si>
  <si>
    <t xml:space="preserve"> ТП Сад-Г601/2*250 (площадка откорма № 2)</t>
  </si>
  <si>
    <t>ТП Сад-Г602/2*250 (площадка откорма № 2)</t>
  </si>
  <si>
    <t xml:space="preserve"> ТП Сад-Г603/2*250 (площадка откорма № 2)</t>
  </si>
  <si>
    <t xml:space="preserve"> ТП Сад-Г604/2*250(площадка откорма № 2)</t>
  </si>
  <si>
    <t xml:space="preserve"> ТП Сад-Г605/2*250 (площадка откорма № 2)</t>
  </si>
  <si>
    <t xml:space="preserve"> ТП Сад-Г1103/2*400 (водозабор)</t>
  </si>
  <si>
    <t>ТП 804 ТПФ/400</t>
  </si>
  <si>
    <t>ТП 801 СГ/400 (площадка откорма № 1)</t>
  </si>
  <si>
    <t xml:space="preserve"> ТП 801 ТПФ/2*400 (АБК)</t>
  </si>
  <si>
    <t xml:space="preserve"> ТП 802 ТПФ/2*630 (котельная)</t>
  </si>
  <si>
    <t xml:space="preserve"> ТП 802 СГ/2*1000 (убой)</t>
  </si>
  <si>
    <t>ТП 803 СГ/2*1600 (холодильник)</t>
  </si>
  <si>
    <t xml:space="preserve"> ТП Сад-Г 1301 (площадка откорма)</t>
  </si>
  <si>
    <t xml:space="preserve"> ТП Сад-Г 1302 (площадка откорма)</t>
  </si>
  <si>
    <t>ТП Сад-Г 1303 (площадка откорма)</t>
  </si>
  <si>
    <t xml:space="preserve"> ТП Сад-Г702/2*630 (очистные)</t>
  </si>
  <si>
    <t xml:space="preserve"> ТП Сад-Г701/2*250 (КНС)</t>
  </si>
  <si>
    <t>ПС 6 кВ АБЗ (ТП 3090)</t>
  </si>
  <si>
    <t>ТП №2 ТМ-250кВА, ТМ-400кВА</t>
  </si>
  <si>
    <t>ТП №4 ТМ-630кВ х 2шт.</t>
  </si>
  <si>
    <t xml:space="preserve"> ТП 10/0.4кВ СК 101/400</t>
  </si>
  <si>
    <t xml:space="preserve"> ТП 10/0.4кВ    СК 103/400</t>
  </si>
  <si>
    <t xml:space="preserve"> ТП 10/0.4кВ    СК 105/400</t>
  </si>
  <si>
    <t xml:space="preserve"> ТП 10/0.4кВ    СК 301/400</t>
  </si>
  <si>
    <t xml:space="preserve"> ТП 10/0.4кВ    СК 302/400</t>
  </si>
  <si>
    <t xml:space="preserve"> ТП 10/0.4кВ    СК 304/400</t>
  </si>
  <si>
    <t xml:space="preserve"> ТП 10/0.4кВ    СК 305/400</t>
  </si>
  <si>
    <t xml:space="preserve"> ТП 10/0.4кВ    Т 512/100</t>
  </si>
  <si>
    <t xml:space="preserve"> ТП 10/0.4кВ    Т 514/400</t>
  </si>
  <si>
    <t xml:space="preserve"> ТП 10/0.4кВ    СК 711/160</t>
  </si>
  <si>
    <t xml:space="preserve"> ТП 10/0.4кВ    СИД 503/160</t>
  </si>
  <si>
    <t xml:space="preserve"> ТП 10/0.4кВ    СИД 507/60</t>
  </si>
  <si>
    <t xml:space="preserve"> ТП 10/0.4кВ    СИД 508/160</t>
  </si>
  <si>
    <t xml:space="preserve"> ТП 10/0.4кВ    СИД 510/160</t>
  </si>
  <si>
    <t xml:space="preserve"> ТП 10/0.4кВ    СИД 511/160</t>
  </si>
  <si>
    <t xml:space="preserve"> ТП 10/0.4кВ    СИД 514/100</t>
  </si>
  <si>
    <t xml:space="preserve"> ТП 10/0.4кВ    СК 901/400</t>
  </si>
  <si>
    <t xml:space="preserve"> ТП 10/0.4кВ    СК 902/400</t>
  </si>
  <si>
    <t xml:space="preserve"> ТП 10/0.4кВ    СК 903/400</t>
  </si>
  <si>
    <t xml:space="preserve"> ТП 10/0.4кВ    СК 1301/100</t>
  </si>
  <si>
    <t xml:space="preserve"> ТП 10/0.4кВ    ПФ 2107/250</t>
  </si>
  <si>
    <t>КТП-ТКК-630кВА</t>
  </si>
  <si>
    <t>ТП Пр №804 ТМ-400кВА</t>
  </si>
  <si>
    <t>КТП 6/0,4 400 кВА</t>
  </si>
  <si>
    <t>КТП 6/0,4 250 кВА</t>
  </si>
  <si>
    <t>ПС 6 кВ АБЗ</t>
  </si>
  <si>
    <t>ПС 6 кВ СПСК</t>
  </si>
  <si>
    <t>ТП-100-10/0,4 кВа</t>
  </si>
  <si>
    <t>КТП-383</t>
  </si>
  <si>
    <t>КТП-384</t>
  </si>
  <si>
    <t>ТП 6/0,4</t>
  </si>
  <si>
    <t>КТП-188/250</t>
  </si>
  <si>
    <t>ТП 1208/630</t>
  </si>
  <si>
    <t>ТП 303</t>
  </si>
  <si>
    <t>КТП 100/6</t>
  </si>
  <si>
    <t>ТП ул.Восточная</t>
  </si>
  <si>
    <t>ТП КС 1008/160</t>
  </si>
  <si>
    <t>ТП КС 1025/63</t>
  </si>
  <si>
    <t>ТП-5040005</t>
  </si>
  <si>
    <t>ТП-5040004</t>
  </si>
  <si>
    <t>ИТОГО</t>
  </si>
  <si>
    <t>г.Тольятти, Автозаводское ш. , д.6</t>
  </si>
  <si>
    <t>г. Кинель, пгт. Алексеевка, ул.Силикатная, 4</t>
  </si>
  <si>
    <t>Самарская обл, Кинель-Черкасский р-н, п.Сад-Город</t>
  </si>
  <si>
    <t>г.Самара, Красноглинский р-н, п.Козелки</t>
  </si>
  <si>
    <t>Самарская обл, Кинель-Черкасский р-н, с.Тимашево</t>
  </si>
  <si>
    <t>Похвистневский р-н с. Савруха, с. Сидоровка, с. александровка, с.Северный ключ</t>
  </si>
  <si>
    <t>Самарская обл, Ставропольский р-н, с.п.Васильевка</t>
  </si>
  <si>
    <t>Самарская обл, Волжский р-н, с.Лопатино</t>
  </si>
  <si>
    <t>Красноярский р-н, п.Жареный бугор, кп Излучина</t>
  </si>
  <si>
    <t>г.Самара, Гаражный проезд,2</t>
  </si>
  <si>
    <t>г.Самара, ул. Соколова,1</t>
  </si>
  <si>
    <t>Сам.обл, Ставропольский р-н, Федоровские луга</t>
  </si>
  <si>
    <t>г.Тольятти,  Автозаводское ш., д.2 и д.2А, Автозаводское ш., д.6</t>
  </si>
  <si>
    <t>Кинельский р-н, пгт Усть-Кинельский, ул. Спортивная, 5Б</t>
  </si>
  <si>
    <t>Кинельский р-н, пгт Усть-Кинельский, ул. Шоссейная, 101А</t>
  </si>
  <si>
    <t>Самарская обл, с.Филипповка</t>
  </si>
  <si>
    <t>Кинельский р-н, пгт Усть-Кинельский, ул. Спортивная, 4Г</t>
  </si>
  <si>
    <t>Кинельский р-н, с.Бобровка</t>
  </si>
  <si>
    <t>Самарская обл., г. Тольятти, Автозаводской р-н, Южное шоссе д.30</t>
  </si>
  <si>
    <t>Суммарная мощность трансформаторов, МВА</t>
  </si>
  <si>
    <t>Свободная мощность, кВт</t>
  </si>
  <si>
    <t xml:space="preserve">1. Разработка проекта  Регламента технологического присоединения к электрическим сетям                                                                         ООО "Регион Энерго"
</t>
  </si>
  <si>
    <t>ГПП 2</t>
  </si>
  <si>
    <t>г.о.Тольятти, Центральный район</t>
  </si>
  <si>
    <t>ПС 35 кВ АБЗ</t>
  </si>
  <si>
    <t>35/6</t>
  </si>
  <si>
    <t>ПС 35 кВ АКСМ</t>
  </si>
  <si>
    <t>г. Кинель, п.Алексеевка</t>
  </si>
  <si>
    <t>п. 4.9. Информация по обращениям потребителей ООО "Регион Энерго"</t>
  </si>
  <si>
    <t>руб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</si>
</sst>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0.000"/>
    <numFmt numFmtId="165" formatCode="_-* #,##0.00_р_._-;\-* #,##0.00_р_._-;_-* &quot;-&quot;??_р_._-;_-@_-"/>
    <numFmt numFmtId="166" formatCode="_-* #,##0_р_._-;\-* #,##0_р_._-;_-* &quot;-&quot;??_р_._-;_-@_-"/>
    <numFmt numFmtId="167" formatCode="_-* #,##0.000_р_._-;\-* #,##0.000_р_._-;_-* &quot;-&quot;??_р_._-;_-@_-"/>
    <numFmt numFmtId="168" formatCode="0.0"/>
    <numFmt numFmtId="169" formatCode="_-* #,##0\ _₽_-;\-* #,##0\ _₽_-;_-* &quot;-&quot;??\ _₽_-;_-@_-"/>
    <numFmt numFmtId="170" formatCode="_-* #,##0.0_р_._-;\-* #,##0.0_р_._-;_-* &quot;-&quot;??_р_._-;_-@_-"/>
  </numFmts>
  <fonts count="34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6"/>
      <name val="Times New Roman"/>
      <family val="1"/>
      <charset val="204"/>
    </font>
    <font>
      <sz val="11"/>
      <name val="Calibri"/>
      <family val="2"/>
      <charset val="204"/>
    </font>
    <font>
      <sz val="18"/>
      <name val="Times New Roman"/>
      <family val="1"/>
      <charset val="204"/>
    </font>
    <font>
      <sz val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0"/>
      <name val="Times New Roman"/>
      <family val="1"/>
      <charset val="204"/>
    </font>
    <font>
      <sz val="7.7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u/>
      <sz val="9.25"/>
      <color theme="10"/>
      <name val="Calibri"/>
      <family val="2"/>
      <charset val="204"/>
    </font>
    <font>
      <b/>
      <sz val="10"/>
      <name val="Times New Roman"/>
      <family val="1"/>
      <charset val="204"/>
    </font>
    <font>
      <u/>
      <sz val="9.25"/>
      <color theme="10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Verdana"/>
      <family val="2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11" fillId="0" borderId="0"/>
    <xf numFmtId="0" fontId="21" fillId="0" borderId="0"/>
    <xf numFmtId="0" fontId="5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6" fillId="0" borderId="0" applyNumberFormat="0" applyFill="0" applyBorder="0" applyAlignment="0" applyProtection="0">
      <alignment vertical="top"/>
      <protection locked="0"/>
    </xf>
    <xf numFmtId="0" fontId="31" fillId="0" borderId="0"/>
  </cellStyleXfs>
  <cellXfs count="216">
    <xf numFmtId="0" fontId="0" fillId="0" borderId="0" xfId="0"/>
    <xf numFmtId="0" fontId="5" fillId="0" borderId="0" xfId="0" applyFont="1"/>
    <xf numFmtId="0" fontId="7" fillId="0" borderId="0" xfId="0" applyFont="1" applyAlignment="1">
      <alignment horizontal="justify" vertical="center"/>
    </xf>
    <xf numFmtId="0" fontId="8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11" fillId="0" borderId="0" xfId="1"/>
    <xf numFmtId="0" fontId="6" fillId="0" borderId="1" xfId="1" applyFont="1" applyBorder="1" applyAlignment="1">
      <alignment horizontal="center" vertical="top" wrapText="1"/>
    </xf>
    <xf numFmtId="0" fontId="6" fillId="0" borderId="1" xfId="1" applyFont="1" applyBorder="1" applyAlignment="1">
      <alignment horizontal="center" vertical="center" wrapText="1"/>
    </xf>
    <xf numFmtId="0" fontId="11" fillId="0" borderId="1" xfId="1" applyBorder="1" applyAlignment="1">
      <alignment horizontal="center" vertical="center"/>
    </xf>
    <xf numFmtId="0" fontId="6" fillId="0" borderId="1" xfId="1" applyFont="1" applyBorder="1" applyAlignment="1">
      <alignment horizontal="justify" vertical="top" wrapText="1"/>
    </xf>
    <xf numFmtId="0" fontId="6" fillId="0" borderId="1" xfId="1" applyFont="1" applyBorder="1" applyAlignment="1">
      <alignment vertical="top" wrapText="1"/>
    </xf>
    <xf numFmtId="0" fontId="6" fillId="0" borderId="1" xfId="1" applyFont="1" applyBorder="1" applyAlignment="1">
      <alignment horizontal="right" vertical="top" wrapText="1"/>
    </xf>
    <xf numFmtId="2" fontId="6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/>
    </xf>
    <xf numFmtId="164" fontId="6" fillId="0" borderId="1" xfId="1" applyNumberFormat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1" xfId="1" applyFont="1" applyBorder="1" applyAlignment="1">
      <alignment vertical="center" wrapText="1"/>
    </xf>
    <xf numFmtId="0" fontId="11" fillId="0" borderId="0" xfId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2" fillId="0" borderId="0" xfId="1" applyFont="1"/>
    <xf numFmtId="0" fontId="13" fillId="0" borderId="1" xfId="1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wrapText="1"/>
    </xf>
    <xf numFmtId="0" fontId="9" fillId="2" borderId="0" xfId="0" applyFont="1" applyFill="1" applyAlignment="1">
      <alignment vertical="center" wrapText="1"/>
    </xf>
    <xf numFmtId="0" fontId="6" fillId="0" borderId="0" xfId="0" applyFont="1"/>
    <xf numFmtId="0" fontId="14" fillId="0" borderId="1" xfId="0" applyFont="1" applyBorder="1" applyAlignment="1">
      <alignment horizontal="center" vertical="center" wrapText="1"/>
    </xf>
    <xf numFmtId="0" fontId="5" fillId="0" borderId="1" xfId="0" applyFont="1" applyBorder="1"/>
    <xf numFmtId="0" fontId="15" fillId="0" borderId="1" xfId="0" applyFont="1" applyBorder="1" applyAlignment="1">
      <alignment wrapText="1"/>
    </xf>
    <xf numFmtId="0" fontId="15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vertical="top"/>
    </xf>
    <xf numFmtId="49" fontId="15" fillId="0" borderId="1" xfId="0" applyNumberFormat="1" applyFont="1" applyBorder="1" applyAlignment="1">
      <alignment vertical="top"/>
    </xf>
    <xf numFmtId="0" fontId="15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top" wrapText="1"/>
    </xf>
    <xf numFmtId="49" fontId="5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3" borderId="0" xfId="0" applyFont="1" applyFill="1"/>
    <xf numFmtId="0" fontId="17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/>
    </xf>
    <xf numFmtId="164" fontId="6" fillId="0" borderId="1" xfId="0" applyNumberFormat="1" applyFont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0" xfId="0" applyFont="1" applyFill="1"/>
    <xf numFmtId="0" fontId="5" fillId="3" borderId="1" xfId="0" applyFont="1" applyFill="1" applyBorder="1" applyAlignment="1">
      <alignment horizontal="center" vertical="center" wrapText="1"/>
    </xf>
    <xf numFmtId="2" fontId="19" fillId="0" borderId="1" xfId="1" applyNumberFormat="1" applyFont="1" applyBorder="1" applyAlignment="1">
      <alignment horizontal="center" vertical="center"/>
    </xf>
    <xf numFmtId="0" fontId="19" fillId="0" borderId="1" xfId="1" applyFont="1" applyBorder="1" applyAlignment="1">
      <alignment vertical="center"/>
    </xf>
    <xf numFmtId="0" fontId="6" fillId="0" borderId="0" xfId="0" applyFont="1" applyAlignment="1">
      <alignment vertical="center" wrapText="1"/>
    </xf>
    <xf numFmtId="0" fontId="6" fillId="3" borderId="1" xfId="0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1" fontId="6" fillId="0" borderId="1" xfId="1" applyNumberFormat="1" applyFont="1" applyBorder="1" applyAlignment="1">
      <alignment horizontal="center" vertical="center"/>
    </xf>
    <xf numFmtId="1" fontId="6" fillId="0" borderId="1" xfId="0" applyNumberFormat="1" applyFont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0" fillId="5" borderId="0" xfId="0" applyFill="1"/>
    <xf numFmtId="0" fontId="6" fillId="5" borderId="0" xfId="0" applyFont="1" applyFill="1"/>
    <xf numFmtId="0" fontId="5" fillId="5" borderId="0" xfId="0" applyFont="1" applyFill="1"/>
    <xf numFmtId="0" fontId="18" fillId="3" borderId="1" xfId="5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18" fillId="0" borderId="0" xfId="7" applyFont="1" applyAlignment="1">
      <alignment horizontal="left"/>
    </xf>
    <xf numFmtId="0" fontId="22" fillId="0" borderId="0" xfId="7" applyFont="1"/>
    <xf numFmtId="0" fontId="18" fillId="0" borderId="0" xfId="7" applyFont="1"/>
    <xf numFmtId="0" fontId="22" fillId="0" borderId="0" xfId="7" applyFont="1" applyAlignment="1">
      <alignment vertical="center"/>
    </xf>
    <xf numFmtId="49" fontId="22" fillId="0" borderId="0" xfId="7" applyNumberFormat="1" applyFont="1" applyAlignment="1">
      <alignment vertical="center"/>
    </xf>
    <xf numFmtId="0" fontId="24" fillId="0" borderId="0" xfId="7" applyFont="1"/>
    <xf numFmtId="0" fontId="24" fillId="0" borderId="1" xfId="7" applyFont="1" applyBorder="1" applyAlignment="1">
      <alignment horizontal="center" vertical="center"/>
    </xf>
    <xf numFmtId="0" fontId="24" fillId="0" borderId="1" xfId="7" applyNumberFormat="1" applyFont="1" applyBorder="1"/>
    <xf numFmtId="0" fontId="24" fillId="0" borderId="1" xfId="7" applyNumberFormat="1" applyFont="1" applyBorder="1" applyAlignment="1">
      <alignment horizontal="center"/>
    </xf>
    <xf numFmtId="165" fontId="24" fillId="0" borderId="1" xfId="8" applyFont="1" applyBorder="1"/>
    <xf numFmtId="165" fontId="24" fillId="3" borderId="1" xfId="8" applyFont="1" applyFill="1" applyBorder="1"/>
    <xf numFmtId="166" fontId="24" fillId="0" borderId="1" xfId="8" applyNumberFormat="1" applyFont="1" applyBorder="1"/>
    <xf numFmtId="166" fontId="24" fillId="3" borderId="1" xfId="8" applyNumberFormat="1" applyFont="1" applyFill="1" applyBorder="1"/>
    <xf numFmtId="166" fontId="24" fillId="0" borderId="0" xfId="7" applyNumberFormat="1" applyFont="1"/>
    <xf numFmtId="0" fontId="24" fillId="0" borderId="0" xfId="7" applyNumberFormat="1" applyFont="1" applyBorder="1"/>
    <xf numFmtId="0" fontId="24" fillId="0" borderId="0" xfId="7" applyNumberFormat="1" applyFont="1" applyBorder="1" applyAlignment="1">
      <alignment horizontal="center"/>
    </xf>
    <xf numFmtId="0" fontId="24" fillId="0" borderId="0" xfId="7" applyFont="1" applyBorder="1"/>
    <xf numFmtId="49" fontId="24" fillId="0" borderId="0" xfId="7" applyNumberFormat="1" applyFont="1" applyAlignment="1">
      <alignment vertical="center"/>
    </xf>
    <xf numFmtId="0" fontId="24" fillId="0" borderId="0" xfId="7" applyFont="1" applyFill="1"/>
    <xf numFmtId="0" fontId="24" fillId="0" borderId="1" xfId="7" applyNumberFormat="1" applyFont="1" applyBorder="1" applyAlignment="1">
      <alignment vertical="center" wrapText="1"/>
    </xf>
    <xf numFmtId="0" fontId="24" fillId="0" borderId="1" xfId="7" applyNumberFormat="1" applyFont="1" applyBorder="1" applyAlignment="1">
      <alignment horizontal="center" vertical="center"/>
    </xf>
    <xf numFmtId="0" fontId="25" fillId="0" borderId="0" xfId="7" applyFont="1"/>
    <xf numFmtId="166" fontId="25" fillId="0" borderId="0" xfId="7" applyNumberFormat="1" applyFont="1"/>
    <xf numFmtId="167" fontId="24" fillId="0" borderId="1" xfId="8" applyNumberFormat="1" applyFont="1" applyBorder="1"/>
    <xf numFmtId="167" fontId="24" fillId="3" borderId="1" xfId="8" applyNumberFormat="1" applyFont="1" applyFill="1" applyBorder="1"/>
    <xf numFmtId="167" fontId="24" fillId="0" borderId="0" xfId="7" applyNumberFormat="1" applyFont="1"/>
    <xf numFmtId="167" fontId="24" fillId="0" borderId="1" xfId="7" applyNumberFormat="1" applyFont="1" applyBorder="1"/>
    <xf numFmtId="0" fontId="24" fillId="0" borderId="1" xfId="7" applyFont="1" applyBorder="1" applyAlignment="1">
      <alignment horizontal="center"/>
    </xf>
    <xf numFmtId="0" fontId="24" fillId="3" borderId="1" xfId="7" applyFont="1" applyFill="1" applyBorder="1" applyAlignment="1">
      <alignment horizontal="center"/>
    </xf>
    <xf numFmtId="0" fontId="22" fillId="0" borderId="0" xfId="7" applyNumberFormat="1" applyFont="1" applyFill="1" applyBorder="1" applyAlignment="1">
      <alignment vertical="center" wrapText="1"/>
    </xf>
    <xf numFmtId="0" fontId="25" fillId="0" borderId="0" xfId="7" applyFont="1" applyFill="1"/>
    <xf numFmtId="0" fontId="22" fillId="0" borderId="0" xfId="7" applyFont="1" applyFill="1"/>
    <xf numFmtId="0" fontId="18" fillId="0" borderId="0" xfId="7" applyFont="1" applyAlignment="1">
      <alignment horizontal="justify"/>
    </xf>
    <xf numFmtId="0" fontId="22" fillId="0" borderId="0" xfId="7" applyFont="1" applyAlignment="1">
      <alignment wrapText="1"/>
    </xf>
    <xf numFmtId="0" fontId="28" fillId="0" borderId="0" xfId="9" applyFont="1" applyAlignment="1" applyProtection="1">
      <alignment horizontal="justify"/>
    </xf>
    <xf numFmtId="167" fontId="24" fillId="3" borderId="1" xfId="7" applyNumberFormat="1" applyFont="1" applyFill="1" applyBorder="1"/>
    <xf numFmtId="0" fontId="25" fillId="3" borderId="0" xfId="7" applyFont="1" applyFill="1"/>
    <xf numFmtId="169" fontId="24" fillId="3" borderId="1" xfId="7" applyNumberFormat="1" applyFont="1" applyFill="1" applyBorder="1"/>
    <xf numFmtId="168" fontId="24" fillId="3" borderId="1" xfId="7" applyNumberFormat="1" applyFont="1" applyFill="1" applyBorder="1"/>
    <xf numFmtId="0" fontId="24" fillId="3" borderId="0" xfId="7" applyFont="1" applyFill="1"/>
    <xf numFmtId="0" fontId="5" fillId="0" borderId="1" xfId="0" applyFont="1" applyBorder="1" applyAlignment="1">
      <alignment horizontal="center" vertical="center"/>
    </xf>
    <xf numFmtId="165" fontId="24" fillId="3" borderId="1" xfId="8" applyFont="1" applyFill="1" applyBorder="1" applyAlignment="1">
      <alignment horizontal="center"/>
    </xf>
    <xf numFmtId="0" fontId="24" fillId="6" borderId="4" xfId="7" applyNumberFormat="1" applyFont="1" applyFill="1" applyBorder="1" applyAlignment="1">
      <alignment horizontal="center" vertical="center"/>
    </xf>
    <xf numFmtId="0" fontId="24" fillId="6" borderId="5" xfId="7" applyNumberFormat="1" applyFont="1" applyFill="1" applyBorder="1" applyAlignment="1">
      <alignment horizontal="center" vertical="center"/>
    </xf>
    <xf numFmtId="0" fontId="24" fillId="6" borderId="3" xfId="7" applyNumberFormat="1" applyFont="1" applyFill="1" applyBorder="1" applyAlignment="1">
      <alignment horizontal="center" vertical="center"/>
    </xf>
    <xf numFmtId="0" fontId="5" fillId="0" borderId="0" xfId="9" applyFont="1" applyAlignment="1" applyProtection="1">
      <alignment horizontal="left" wrapText="1"/>
    </xf>
    <xf numFmtId="0" fontId="22" fillId="0" borderId="0" xfId="7" applyFont="1" applyAlignment="1">
      <alignment horizontal="center"/>
    </xf>
    <xf numFmtId="0" fontId="24" fillId="0" borderId="0" xfId="7" applyNumberFormat="1" applyFont="1" applyAlignment="1">
      <alignment horizontal="left" vertical="center" wrapText="1"/>
    </xf>
    <xf numFmtId="0" fontId="24" fillId="0" borderId="2" xfId="7" applyNumberFormat="1" applyFont="1" applyBorder="1" applyAlignment="1">
      <alignment horizontal="center" vertical="center"/>
    </xf>
    <xf numFmtId="0" fontId="24" fillId="0" borderId="7" xfId="7" applyNumberFormat="1" applyFont="1" applyBorder="1" applyAlignment="1">
      <alignment horizontal="center" vertical="center"/>
    </xf>
    <xf numFmtId="0" fontId="24" fillId="0" borderId="1" xfId="7" applyFont="1" applyBorder="1" applyAlignment="1">
      <alignment horizontal="center"/>
    </xf>
    <xf numFmtId="0" fontId="22" fillId="0" borderId="8" xfId="7" applyFont="1" applyBorder="1" applyAlignment="1">
      <alignment horizontal="center"/>
    </xf>
    <xf numFmtId="0" fontId="22" fillId="0" borderId="0" xfId="7" applyNumberFormat="1" applyFont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12" fillId="0" borderId="0" xfId="1" applyFont="1" applyAlignment="1">
      <alignment horizontal="center"/>
    </xf>
    <xf numFmtId="49" fontId="6" fillId="0" borderId="0" xfId="1" applyNumberFormat="1" applyFont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top" wrapText="1"/>
    </xf>
    <xf numFmtId="164" fontId="6" fillId="0" borderId="4" xfId="1" applyNumberFormat="1" applyFont="1" applyBorder="1" applyAlignment="1">
      <alignment horizontal="center" vertical="center" wrapText="1"/>
    </xf>
    <xf numFmtId="164" fontId="6" fillId="0" borderId="5" xfId="1" applyNumberFormat="1" applyFont="1" applyBorder="1" applyAlignment="1">
      <alignment horizontal="center" vertical="center" wrapText="1"/>
    </xf>
    <xf numFmtId="164" fontId="6" fillId="0" borderId="3" xfId="1" applyNumberFormat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11" fillId="0" borderId="1" xfId="1" applyBorder="1"/>
    <xf numFmtId="0" fontId="6" fillId="2" borderId="0" xfId="0" applyFont="1" applyFill="1" applyAlignment="1">
      <alignment horizontal="center" vertical="center" wrapText="1"/>
    </xf>
    <xf numFmtId="0" fontId="13" fillId="0" borderId="0" xfId="1" applyFont="1" applyAlignment="1">
      <alignment horizontal="center"/>
    </xf>
    <xf numFmtId="0" fontId="5" fillId="0" borderId="0" xfId="0" applyFont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0" fillId="0" borderId="0" xfId="0" applyAlignment="1">
      <alignment horizontal="left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3" fillId="0" borderId="0" xfId="1" applyFont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6" fillId="3" borderId="0" xfId="0" applyFont="1" applyFill="1" applyAlignment="1">
      <alignment horizontal="center" vertical="center" wrapText="1"/>
    </xf>
    <xf numFmtId="0" fontId="6" fillId="3" borderId="0" xfId="0" applyFont="1" applyFill="1" applyAlignment="1">
      <alignment horizontal="center" wrapText="1"/>
    </xf>
    <xf numFmtId="0" fontId="6" fillId="3" borderId="0" xfId="0" applyFont="1" applyFill="1" applyAlignment="1">
      <alignment horizontal="left" wrapText="1"/>
    </xf>
    <xf numFmtId="170" fontId="24" fillId="3" borderId="1" xfId="8" applyNumberFormat="1" applyFont="1" applyFill="1" applyBorder="1"/>
    <xf numFmtId="166" fontId="24" fillId="3" borderId="1" xfId="8" applyNumberFormat="1" applyFont="1" applyFill="1" applyBorder="1" applyAlignment="1">
      <alignment horizontal="center"/>
    </xf>
    <xf numFmtId="166" fontId="24" fillId="3" borderId="1" xfId="7" applyNumberFormat="1" applyFont="1" applyFill="1" applyBorder="1"/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164" fontId="6" fillId="3" borderId="1" xfId="1" applyNumberFormat="1" applyFont="1" applyFill="1" applyBorder="1" applyAlignment="1">
      <alignment vertical="center" wrapText="1"/>
    </xf>
    <xf numFmtId="0" fontId="29" fillId="0" borderId="0" xfId="0" applyFont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left" vertical="center"/>
    </xf>
    <xf numFmtId="49" fontId="30" fillId="3" borderId="1" xfId="10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 wrapText="1"/>
    </xf>
    <xf numFmtId="0" fontId="22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 vertical="center"/>
    </xf>
    <xf numFmtId="0" fontId="22" fillId="3" borderId="1" xfId="0" applyFont="1" applyFill="1" applyBorder="1" applyAlignment="1">
      <alignment horizontal="center"/>
    </xf>
    <xf numFmtId="0" fontId="22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vertical="center" wrapText="1"/>
    </xf>
    <xf numFmtId="0" fontId="22" fillId="3" borderId="1" xfId="0" applyFont="1" applyFill="1" applyBorder="1" applyAlignment="1">
      <alignment horizontal="center" wrapText="1"/>
    </xf>
    <xf numFmtId="0" fontId="22" fillId="3" borderId="1" xfId="0" applyFont="1" applyFill="1" applyBorder="1" applyAlignment="1">
      <alignment horizontal="center" wrapText="1"/>
    </xf>
    <xf numFmtId="0" fontId="24" fillId="3" borderId="1" xfId="0" applyFont="1" applyFill="1" applyBorder="1" applyAlignment="1">
      <alignment horizontal="center" vertical="center" wrapText="1"/>
    </xf>
    <xf numFmtId="2" fontId="18" fillId="3" borderId="1" xfId="0" applyNumberFormat="1" applyFont="1" applyFill="1" applyBorder="1" applyAlignment="1">
      <alignment horizontal="center" vertical="center" wrapText="1"/>
    </xf>
    <xf numFmtId="2" fontId="32" fillId="3" borderId="1" xfId="0" applyNumberFormat="1" applyFont="1" applyFill="1" applyBorder="1" applyAlignment="1">
      <alignment horizontal="center" wrapText="1"/>
    </xf>
    <xf numFmtId="2" fontId="32" fillId="3" borderId="1" xfId="0" applyNumberFormat="1" applyFont="1" applyFill="1" applyBorder="1" applyAlignment="1">
      <alignment horizontal="center"/>
    </xf>
    <xf numFmtId="2" fontId="32" fillId="3" borderId="2" xfId="0" applyNumberFormat="1" applyFont="1" applyFill="1" applyBorder="1" applyAlignment="1">
      <alignment horizontal="center"/>
    </xf>
    <xf numFmtId="2" fontId="32" fillId="3" borderId="6" xfId="0" applyNumberFormat="1" applyFont="1" applyFill="1" applyBorder="1" applyAlignment="1">
      <alignment horizontal="center"/>
    </xf>
    <xf numFmtId="2" fontId="32" fillId="3" borderId="7" xfId="0" applyNumberFormat="1" applyFont="1" applyFill="1" applyBorder="1" applyAlignment="1">
      <alignment horizontal="center"/>
    </xf>
    <xf numFmtId="2" fontId="32" fillId="3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left" vertical="center" wrapText="1"/>
    </xf>
    <xf numFmtId="0" fontId="33" fillId="3" borderId="1" xfId="0" applyFont="1" applyFill="1" applyBorder="1" applyAlignment="1">
      <alignment horizontal="center"/>
    </xf>
    <xf numFmtId="0" fontId="5" fillId="0" borderId="0" xfId="0" applyFont="1" applyAlignment="1">
      <alignment horizontal="center" vertical="center"/>
    </xf>
    <xf numFmtId="1" fontId="5" fillId="0" borderId="0" xfId="0" applyNumberFormat="1" applyFont="1"/>
    <xf numFmtId="0" fontId="27" fillId="0" borderId="1" xfId="0" applyFont="1" applyBorder="1"/>
    <xf numFmtId="0" fontId="27" fillId="0" borderId="0" xfId="0" applyFont="1"/>
    <xf numFmtId="0" fontId="27" fillId="0" borderId="1" xfId="0" applyFont="1" applyBorder="1" applyAlignment="1">
      <alignment horizontal="center"/>
    </xf>
    <xf numFmtId="1" fontId="5" fillId="3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0" fillId="0" borderId="8" xfId="0" applyBorder="1" applyAlignment="1">
      <alignment horizontal="center" vertical="center"/>
    </xf>
    <xf numFmtId="49" fontId="6" fillId="3" borderId="0" xfId="0" applyNumberFormat="1" applyFont="1" applyFill="1" applyAlignment="1">
      <alignment vertical="center"/>
    </xf>
    <xf numFmtId="0" fontId="10" fillId="3" borderId="4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top" wrapText="1"/>
    </xf>
    <xf numFmtId="0" fontId="20" fillId="3" borderId="1" xfId="0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/>
    </xf>
    <xf numFmtId="0" fontId="5" fillId="3" borderId="1" xfId="0" applyFont="1" applyFill="1" applyBorder="1"/>
    <xf numFmtId="0" fontId="10" fillId="3" borderId="1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/>
    </xf>
    <xf numFmtId="14" fontId="0" fillId="3" borderId="1" xfId="0" applyNumberFormat="1" applyFill="1" applyBorder="1" applyAlignment="1">
      <alignment horizontal="center"/>
    </xf>
    <xf numFmtId="49" fontId="5" fillId="3" borderId="1" xfId="0" applyNumberFormat="1" applyFont="1" applyFill="1" applyBorder="1" applyAlignment="1">
      <alignment horizontal="center" vertical="center"/>
    </xf>
    <xf numFmtId="0" fontId="16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right"/>
    </xf>
    <xf numFmtId="0" fontId="5" fillId="3" borderId="1" xfId="0" applyFont="1" applyFill="1" applyBorder="1" applyAlignment="1">
      <alignment horizontal="right"/>
    </xf>
  </cellXfs>
  <cellStyles count="11">
    <cellStyle name="Гиперссылка" xfId="9" builtinId="8"/>
    <cellStyle name="Обычный" xfId="0" builtinId="0"/>
    <cellStyle name="Обычный 2" xfId="1"/>
    <cellStyle name="Обычный 2 2" xfId="4"/>
    <cellStyle name="Обычный 3" xfId="3"/>
    <cellStyle name="Обычный 4" xfId="2"/>
    <cellStyle name="Обычный 5" xfId="5"/>
    <cellStyle name="Обычный 6" xfId="7"/>
    <cellStyle name="Обычный_форма 1 водопровод для орг_CALC.KV.4.78(v1.0)" xfId="10"/>
    <cellStyle name="Финансовый 2" xfId="6"/>
    <cellStyle name="Финансовый 3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wmf"/><Relationship Id="rId2" Type="http://schemas.openxmlformats.org/officeDocument/2006/relationships/image" Target="../media/image3.wmf"/><Relationship Id="rId1" Type="http://schemas.openxmlformats.org/officeDocument/2006/relationships/image" Target="../media/image5.wmf"/><Relationship Id="rId4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676275</xdr:colOff>
      <xdr:row>11</xdr:row>
      <xdr:rowOff>419100</xdr:rowOff>
    </xdr:from>
    <xdr:to>
      <xdr:col>1</xdr:col>
      <xdr:colOff>1171575</xdr:colOff>
      <xdr:row>11</xdr:row>
      <xdr:rowOff>695325</xdr:rowOff>
    </xdr:to>
    <xdr:pic>
      <xdr:nvPicPr>
        <xdr:cNvPr id="1309" name="Picture 4">
          <a:extLst>
            <a:ext uri="{FF2B5EF4-FFF2-40B4-BE49-F238E27FC236}">
              <a16:creationId xmlns:a16="http://schemas.microsoft.com/office/drawing/2014/main" xmlns="" id="{00000000-0008-0000-0400-00001D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36650" y="3070225"/>
          <a:ext cx="4953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2244725</xdr:colOff>
      <xdr:row>16</xdr:row>
      <xdr:rowOff>161925</xdr:rowOff>
    </xdr:from>
    <xdr:to>
      <xdr:col>1</xdr:col>
      <xdr:colOff>2701925</xdr:colOff>
      <xdr:row>16</xdr:row>
      <xdr:rowOff>438150</xdr:rowOff>
    </xdr:to>
    <xdr:pic>
      <xdr:nvPicPr>
        <xdr:cNvPr id="1310" name="Picture 3">
          <a:extLst>
            <a:ext uri="{FF2B5EF4-FFF2-40B4-BE49-F238E27FC236}">
              <a16:creationId xmlns:a16="http://schemas.microsoft.com/office/drawing/2014/main" xmlns="" id="{00000000-0008-0000-0400-00001E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701925" y="4638675"/>
          <a:ext cx="457200" cy="2762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819150</xdr:colOff>
      <xdr:row>21</xdr:row>
      <xdr:rowOff>1371600</xdr:rowOff>
    </xdr:from>
    <xdr:to>
      <xdr:col>1</xdr:col>
      <xdr:colOff>1533525</xdr:colOff>
      <xdr:row>21</xdr:row>
      <xdr:rowOff>1657350</xdr:rowOff>
    </xdr:to>
    <xdr:pic>
      <xdr:nvPicPr>
        <xdr:cNvPr id="1311" name="Picture 2">
          <a:extLst>
            <a:ext uri="{FF2B5EF4-FFF2-40B4-BE49-F238E27FC236}">
              <a16:creationId xmlns:a16="http://schemas.microsoft.com/office/drawing/2014/main" xmlns="" id="{00000000-0008-0000-0400-00001F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1276350" y="7448550"/>
          <a:ext cx="714375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809625</xdr:colOff>
      <xdr:row>26</xdr:row>
      <xdr:rowOff>1190625</xdr:rowOff>
    </xdr:from>
    <xdr:to>
      <xdr:col>1</xdr:col>
      <xdr:colOff>1533525</xdr:colOff>
      <xdr:row>26</xdr:row>
      <xdr:rowOff>1476375</xdr:rowOff>
    </xdr:to>
    <xdr:pic>
      <xdr:nvPicPr>
        <xdr:cNvPr id="1312" name="Picture 1">
          <a:extLst>
            <a:ext uri="{FF2B5EF4-FFF2-40B4-BE49-F238E27FC236}">
              <a16:creationId xmlns:a16="http://schemas.microsoft.com/office/drawing/2014/main" xmlns="" id="{00000000-0008-0000-0400-000020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1266825" y="10096500"/>
          <a:ext cx="7239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266700</xdr:colOff>
      <xdr:row>4</xdr:row>
      <xdr:rowOff>628650</xdr:rowOff>
    </xdr:from>
    <xdr:to>
      <xdr:col>8</xdr:col>
      <xdr:colOff>114300</xdr:colOff>
      <xdr:row>4</xdr:row>
      <xdr:rowOff>904875</xdr:rowOff>
    </xdr:to>
    <xdr:pic>
      <xdr:nvPicPr>
        <xdr:cNvPr id="2325" name="Picture 3">
          <a:extLst>
            <a:ext uri="{FF2B5EF4-FFF2-40B4-BE49-F238E27FC236}">
              <a16:creationId xmlns:a16="http://schemas.microsoft.com/office/drawing/2014/main" xmlns="" id="{00000000-0008-0000-0500-000015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829175" y="1343025"/>
          <a:ext cx="409575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257175</xdr:colOff>
      <xdr:row>5</xdr:row>
      <xdr:rowOff>1133475</xdr:rowOff>
    </xdr:from>
    <xdr:to>
      <xdr:col>12</xdr:col>
      <xdr:colOff>361950</xdr:colOff>
      <xdr:row>5</xdr:row>
      <xdr:rowOff>1343025</xdr:rowOff>
    </xdr:to>
    <xdr:pic>
      <xdr:nvPicPr>
        <xdr:cNvPr id="2326" name="Picture 2">
          <a:extLst>
            <a:ext uri="{FF2B5EF4-FFF2-40B4-BE49-F238E27FC236}">
              <a16:creationId xmlns:a16="http://schemas.microsoft.com/office/drawing/2014/main" xmlns="" id="{00000000-0008-0000-0500-000016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172325" y="2676525"/>
          <a:ext cx="71437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15</xdr:col>
      <xdr:colOff>352425</xdr:colOff>
      <xdr:row>5</xdr:row>
      <xdr:rowOff>942975</xdr:rowOff>
    </xdr:from>
    <xdr:to>
      <xdr:col>16</xdr:col>
      <xdr:colOff>466725</xdr:colOff>
      <xdr:row>5</xdr:row>
      <xdr:rowOff>1190625</xdr:rowOff>
    </xdr:to>
    <xdr:pic>
      <xdr:nvPicPr>
        <xdr:cNvPr id="2327" name="Picture 1">
          <a:extLst>
            <a:ext uri="{FF2B5EF4-FFF2-40B4-BE49-F238E27FC236}">
              <a16:creationId xmlns:a16="http://schemas.microsoft.com/office/drawing/2014/main" xmlns="" id="{00000000-0008-0000-0500-000017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9705975" y="2486025"/>
          <a:ext cx="72390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</xdr:col>
      <xdr:colOff>352425</xdr:colOff>
      <xdr:row>4</xdr:row>
      <xdr:rowOff>723900</xdr:rowOff>
    </xdr:from>
    <xdr:to>
      <xdr:col>4</xdr:col>
      <xdr:colOff>238125</xdr:colOff>
      <xdr:row>5</xdr:row>
      <xdr:rowOff>66675</xdr:rowOff>
    </xdr:to>
    <xdr:pic>
      <xdr:nvPicPr>
        <xdr:cNvPr id="2328" name="Picture 4">
          <a:extLst>
            <a:ext uri="{FF2B5EF4-FFF2-40B4-BE49-F238E27FC236}">
              <a16:creationId xmlns:a16="http://schemas.microsoft.com/office/drawing/2014/main" xmlns="" id="{00000000-0008-0000-0500-0000180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/>
        <a:srcRect/>
        <a:stretch>
          <a:fillRect/>
        </a:stretch>
      </xdr:blipFill>
      <xdr:spPr bwMode="auto">
        <a:xfrm>
          <a:off x="2476500" y="1438275"/>
          <a:ext cx="495300" cy="1714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fitToPage="1"/>
  </sheetPr>
  <dimension ref="A1:V61"/>
  <sheetViews>
    <sheetView topLeftCell="A25" zoomScale="84" zoomScaleNormal="84" workbookViewId="0">
      <selection activeCell="H48" sqref="H48"/>
    </sheetView>
  </sheetViews>
  <sheetFormatPr defaultRowHeight="13.8" x14ac:dyDescent="0.25"/>
  <cols>
    <col min="1" max="1" width="4.6640625" style="64" customWidth="1"/>
    <col min="2" max="2" width="47.5546875" style="64" customWidth="1"/>
    <col min="3" max="3" width="13.5546875" style="64" customWidth="1"/>
    <col min="4" max="5" width="9.33203125" style="64" bestFit="1" customWidth="1"/>
    <col min="6" max="6" width="10.88671875" style="64" customWidth="1"/>
    <col min="7" max="7" width="10" style="64" bestFit="1" customWidth="1"/>
    <col min="8" max="9" width="9.33203125" style="64" bestFit="1" customWidth="1"/>
    <col min="10" max="10" width="10.33203125" style="64" bestFit="1" customWidth="1"/>
    <col min="11" max="11" width="10" style="64" bestFit="1" customWidth="1"/>
    <col min="12" max="13" width="9.33203125" style="64" bestFit="1" customWidth="1"/>
    <col min="14" max="15" width="9.88671875" style="64" bestFit="1" customWidth="1"/>
    <col min="16" max="16" width="10.88671875" style="64" bestFit="1" customWidth="1"/>
    <col min="17" max="17" width="9.88671875" style="64" hidden="1" customWidth="1"/>
    <col min="18" max="18" width="0" style="64" hidden="1" customWidth="1"/>
    <col min="19" max="256" width="8.88671875" style="64"/>
    <col min="257" max="257" width="4.6640625" style="64" customWidth="1"/>
    <col min="258" max="258" width="47.5546875" style="64" customWidth="1"/>
    <col min="259" max="259" width="13.5546875" style="64" customWidth="1"/>
    <col min="260" max="261" width="9.33203125" style="64" bestFit="1" customWidth="1"/>
    <col min="262" max="262" width="10.88671875" style="64" customWidth="1"/>
    <col min="263" max="263" width="10" style="64" bestFit="1" customWidth="1"/>
    <col min="264" max="265" width="9.33203125" style="64" bestFit="1" customWidth="1"/>
    <col min="266" max="266" width="10.33203125" style="64" bestFit="1" customWidth="1"/>
    <col min="267" max="267" width="10" style="64" bestFit="1" customWidth="1"/>
    <col min="268" max="269" width="9.33203125" style="64" bestFit="1" customWidth="1"/>
    <col min="270" max="271" width="9.88671875" style="64" bestFit="1" customWidth="1"/>
    <col min="272" max="272" width="10.88671875" style="64" bestFit="1" customWidth="1"/>
    <col min="273" max="274" width="0" style="64" hidden="1" customWidth="1"/>
    <col min="275" max="512" width="8.88671875" style="64"/>
    <col min="513" max="513" width="4.6640625" style="64" customWidth="1"/>
    <col min="514" max="514" width="47.5546875" style="64" customWidth="1"/>
    <col min="515" max="515" width="13.5546875" style="64" customWidth="1"/>
    <col min="516" max="517" width="9.33203125" style="64" bestFit="1" customWidth="1"/>
    <col min="518" max="518" width="10.88671875" style="64" customWidth="1"/>
    <col min="519" max="519" width="10" style="64" bestFit="1" customWidth="1"/>
    <col min="520" max="521" width="9.33203125" style="64" bestFit="1" customWidth="1"/>
    <col min="522" max="522" width="10.33203125" style="64" bestFit="1" customWidth="1"/>
    <col min="523" max="523" width="10" style="64" bestFit="1" customWidth="1"/>
    <col min="524" max="525" width="9.33203125" style="64" bestFit="1" customWidth="1"/>
    <col min="526" max="527" width="9.88671875" style="64" bestFit="1" customWidth="1"/>
    <col min="528" max="528" width="10.88671875" style="64" bestFit="1" customWidth="1"/>
    <col min="529" max="530" width="0" style="64" hidden="1" customWidth="1"/>
    <col min="531" max="768" width="8.88671875" style="64"/>
    <col min="769" max="769" width="4.6640625" style="64" customWidth="1"/>
    <col min="770" max="770" width="47.5546875" style="64" customWidth="1"/>
    <col min="771" max="771" width="13.5546875" style="64" customWidth="1"/>
    <col min="772" max="773" width="9.33203125" style="64" bestFit="1" customWidth="1"/>
    <col min="774" max="774" width="10.88671875" style="64" customWidth="1"/>
    <col min="775" max="775" width="10" style="64" bestFit="1" customWidth="1"/>
    <col min="776" max="777" width="9.33203125" style="64" bestFit="1" customWidth="1"/>
    <col min="778" max="778" width="10.33203125" style="64" bestFit="1" customWidth="1"/>
    <col min="779" max="779" width="10" style="64" bestFit="1" customWidth="1"/>
    <col min="780" max="781" width="9.33203125" style="64" bestFit="1" customWidth="1"/>
    <col min="782" max="783" width="9.88671875" style="64" bestFit="1" customWidth="1"/>
    <col min="784" max="784" width="10.88671875" style="64" bestFit="1" customWidth="1"/>
    <col min="785" max="786" width="0" style="64" hidden="1" customWidth="1"/>
    <col min="787" max="1024" width="8.88671875" style="64"/>
    <col min="1025" max="1025" width="4.6640625" style="64" customWidth="1"/>
    <col min="1026" max="1026" width="47.5546875" style="64" customWidth="1"/>
    <col min="1027" max="1027" width="13.5546875" style="64" customWidth="1"/>
    <col min="1028" max="1029" width="9.33203125" style="64" bestFit="1" customWidth="1"/>
    <col min="1030" max="1030" width="10.88671875" style="64" customWidth="1"/>
    <col min="1031" max="1031" width="10" style="64" bestFit="1" customWidth="1"/>
    <col min="1032" max="1033" width="9.33203125" style="64" bestFit="1" customWidth="1"/>
    <col min="1034" max="1034" width="10.33203125" style="64" bestFit="1" customWidth="1"/>
    <col min="1035" max="1035" width="10" style="64" bestFit="1" customWidth="1"/>
    <col min="1036" max="1037" width="9.33203125" style="64" bestFit="1" customWidth="1"/>
    <col min="1038" max="1039" width="9.88671875" style="64" bestFit="1" customWidth="1"/>
    <col min="1040" max="1040" width="10.88671875" style="64" bestFit="1" customWidth="1"/>
    <col min="1041" max="1042" width="0" style="64" hidden="1" customWidth="1"/>
    <col min="1043" max="1280" width="8.88671875" style="64"/>
    <col min="1281" max="1281" width="4.6640625" style="64" customWidth="1"/>
    <col min="1282" max="1282" width="47.5546875" style="64" customWidth="1"/>
    <col min="1283" max="1283" width="13.5546875" style="64" customWidth="1"/>
    <col min="1284" max="1285" width="9.33203125" style="64" bestFit="1" customWidth="1"/>
    <col min="1286" max="1286" width="10.88671875" style="64" customWidth="1"/>
    <col min="1287" max="1287" width="10" style="64" bestFit="1" customWidth="1"/>
    <col min="1288" max="1289" width="9.33203125" style="64" bestFit="1" customWidth="1"/>
    <col min="1290" max="1290" width="10.33203125" style="64" bestFit="1" customWidth="1"/>
    <col min="1291" max="1291" width="10" style="64" bestFit="1" customWidth="1"/>
    <col min="1292" max="1293" width="9.33203125" style="64" bestFit="1" customWidth="1"/>
    <col min="1294" max="1295" width="9.88671875" style="64" bestFit="1" customWidth="1"/>
    <col min="1296" max="1296" width="10.88671875" style="64" bestFit="1" customWidth="1"/>
    <col min="1297" max="1298" width="0" style="64" hidden="1" customWidth="1"/>
    <col min="1299" max="1536" width="8.88671875" style="64"/>
    <col min="1537" max="1537" width="4.6640625" style="64" customWidth="1"/>
    <col min="1538" max="1538" width="47.5546875" style="64" customWidth="1"/>
    <col min="1539" max="1539" width="13.5546875" style="64" customWidth="1"/>
    <col min="1540" max="1541" width="9.33203125" style="64" bestFit="1" customWidth="1"/>
    <col min="1542" max="1542" width="10.88671875" style="64" customWidth="1"/>
    <col min="1543" max="1543" width="10" style="64" bestFit="1" customWidth="1"/>
    <col min="1544" max="1545" width="9.33203125" style="64" bestFit="1" customWidth="1"/>
    <col min="1546" max="1546" width="10.33203125" style="64" bestFit="1" customWidth="1"/>
    <col min="1547" max="1547" width="10" style="64" bestFit="1" customWidth="1"/>
    <col min="1548" max="1549" width="9.33203125" style="64" bestFit="1" customWidth="1"/>
    <col min="1550" max="1551" width="9.88671875" style="64" bestFit="1" customWidth="1"/>
    <col min="1552" max="1552" width="10.88671875" style="64" bestFit="1" customWidth="1"/>
    <col min="1553" max="1554" width="0" style="64" hidden="1" customWidth="1"/>
    <col min="1555" max="1792" width="8.88671875" style="64"/>
    <col min="1793" max="1793" width="4.6640625" style="64" customWidth="1"/>
    <col min="1794" max="1794" width="47.5546875" style="64" customWidth="1"/>
    <col min="1795" max="1795" width="13.5546875" style="64" customWidth="1"/>
    <col min="1796" max="1797" width="9.33203125" style="64" bestFit="1" customWidth="1"/>
    <col min="1798" max="1798" width="10.88671875" style="64" customWidth="1"/>
    <col min="1799" max="1799" width="10" style="64" bestFit="1" customWidth="1"/>
    <col min="1800" max="1801" width="9.33203125" style="64" bestFit="1" customWidth="1"/>
    <col min="1802" max="1802" width="10.33203125" style="64" bestFit="1" customWidth="1"/>
    <col min="1803" max="1803" width="10" style="64" bestFit="1" customWidth="1"/>
    <col min="1804" max="1805" width="9.33203125" style="64" bestFit="1" customWidth="1"/>
    <col min="1806" max="1807" width="9.88671875" style="64" bestFit="1" customWidth="1"/>
    <col min="1808" max="1808" width="10.88671875" style="64" bestFit="1" customWidth="1"/>
    <col min="1809" max="1810" width="0" style="64" hidden="1" customWidth="1"/>
    <col min="1811" max="2048" width="8.88671875" style="64"/>
    <col min="2049" max="2049" width="4.6640625" style="64" customWidth="1"/>
    <col min="2050" max="2050" width="47.5546875" style="64" customWidth="1"/>
    <col min="2051" max="2051" width="13.5546875" style="64" customWidth="1"/>
    <col min="2052" max="2053" width="9.33203125" style="64" bestFit="1" customWidth="1"/>
    <col min="2054" max="2054" width="10.88671875" style="64" customWidth="1"/>
    <col min="2055" max="2055" width="10" style="64" bestFit="1" customWidth="1"/>
    <col min="2056" max="2057" width="9.33203125" style="64" bestFit="1" customWidth="1"/>
    <col min="2058" max="2058" width="10.33203125" style="64" bestFit="1" customWidth="1"/>
    <col min="2059" max="2059" width="10" style="64" bestFit="1" customWidth="1"/>
    <col min="2060" max="2061" width="9.33203125" style="64" bestFit="1" customWidth="1"/>
    <col min="2062" max="2063" width="9.88671875" style="64" bestFit="1" customWidth="1"/>
    <col min="2064" max="2064" width="10.88671875" style="64" bestFit="1" customWidth="1"/>
    <col min="2065" max="2066" width="0" style="64" hidden="1" customWidth="1"/>
    <col min="2067" max="2304" width="8.88671875" style="64"/>
    <col min="2305" max="2305" width="4.6640625" style="64" customWidth="1"/>
    <col min="2306" max="2306" width="47.5546875" style="64" customWidth="1"/>
    <col min="2307" max="2307" width="13.5546875" style="64" customWidth="1"/>
    <col min="2308" max="2309" width="9.33203125" style="64" bestFit="1" customWidth="1"/>
    <col min="2310" max="2310" width="10.88671875" style="64" customWidth="1"/>
    <col min="2311" max="2311" width="10" style="64" bestFit="1" customWidth="1"/>
    <col min="2312" max="2313" width="9.33203125" style="64" bestFit="1" customWidth="1"/>
    <col min="2314" max="2314" width="10.33203125" style="64" bestFit="1" customWidth="1"/>
    <col min="2315" max="2315" width="10" style="64" bestFit="1" customWidth="1"/>
    <col min="2316" max="2317" width="9.33203125" style="64" bestFit="1" customWidth="1"/>
    <col min="2318" max="2319" width="9.88671875" style="64" bestFit="1" customWidth="1"/>
    <col min="2320" max="2320" width="10.88671875" style="64" bestFit="1" customWidth="1"/>
    <col min="2321" max="2322" width="0" style="64" hidden="1" customWidth="1"/>
    <col min="2323" max="2560" width="8.88671875" style="64"/>
    <col min="2561" max="2561" width="4.6640625" style="64" customWidth="1"/>
    <col min="2562" max="2562" width="47.5546875" style="64" customWidth="1"/>
    <col min="2563" max="2563" width="13.5546875" style="64" customWidth="1"/>
    <col min="2564" max="2565" width="9.33203125" style="64" bestFit="1" customWidth="1"/>
    <col min="2566" max="2566" width="10.88671875" style="64" customWidth="1"/>
    <col min="2567" max="2567" width="10" style="64" bestFit="1" customWidth="1"/>
    <col min="2568" max="2569" width="9.33203125" style="64" bestFit="1" customWidth="1"/>
    <col min="2570" max="2570" width="10.33203125" style="64" bestFit="1" customWidth="1"/>
    <col min="2571" max="2571" width="10" style="64" bestFit="1" customWidth="1"/>
    <col min="2572" max="2573" width="9.33203125" style="64" bestFit="1" customWidth="1"/>
    <col min="2574" max="2575" width="9.88671875" style="64" bestFit="1" customWidth="1"/>
    <col min="2576" max="2576" width="10.88671875" style="64" bestFit="1" customWidth="1"/>
    <col min="2577" max="2578" width="0" style="64" hidden="1" customWidth="1"/>
    <col min="2579" max="2816" width="8.88671875" style="64"/>
    <col min="2817" max="2817" width="4.6640625" style="64" customWidth="1"/>
    <col min="2818" max="2818" width="47.5546875" style="64" customWidth="1"/>
    <col min="2819" max="2819" width="13.5546875" style="64" customWidth="1"/>
    <col min="2820" max="2821" width="9.33203125" style="64" bestFit="1" customWidth="1"/>
    <col min="2822" max="2822" width="10.88671875" style="64" customWidth="1"/>
    <col min="2823" max="2823" width="10" style="64" bestFit="1" customWidth="1"/>
    <col min="2824" max="2825" width="9.33203125" style="64" bestFit="1" customWidth="1"/>
    <col min="2826" max="2826" width="10.33203125" style="64" bestFit="1" customWidth="1"/>
    <col min="2827" max="2827" width="10" style="64" bestFit="1" customWidth="1"/>
    <col min="2828" max="2829" width="9.33203125" style="64" bestFit="1" customWidth="1"/>
    <col min="2830" max="2831" width="9.88671875" style="64" bestFit="1" customWidth="1"/>
    <col min="2832" max="2832" width="10.88671875" style="64" bestFit="1" customWidth="1"/>
    <col min="2833" max="2834" width="0" style="64" hidden="1" customWidth="1"/>
    <col min="2835" max="3072" width="8.88671875" style="64"/>
    <col min="3073" max="3073" width="4.6640625" style="64" customWidth="1"/>
    <col min="3074" max="3074" width="47.5546875" style="64" customWidth="1"/>
    <col min="3075" max="3075" width="13.5546875" style="64" customWidth="1"/>
    <col min="3076" max="3077" width="9.33203125" style="64" bestFit="1" customWidth="1"/>
    <col min="3078" max="3078" width="10.88671875" style="64" customWidth="1"/>
    <col min="3079" max="3079" width="10" style="64" bestFit="1" customWidth="1"/>
    <col min="3080" max="3081" width="9.33203125" style="64" bestFit="1" customWidth="1"/>
    <col min="3082" max="3082" width="10.33203125" style="64" bestFit="1" customWidth="1"/>
    <col min="3083" max="3083" width="10" style="64" bestFit="1" customWidth="1"/>
    <col min="3084" max="3085" width="9.33203125" style="64" bestFit="1" customWidth="1"/>
    <col min="3086" max="3087" width="9.88671875" style="64" bestFit="1" customWidth="1"/>
    <col min="3088" max="3088" width="10.88671875" style="64" bestFit="1" customWidth="1"/>
    <col min="3089" max="3090" width="0" style="64" hidden="1" customWidth="1"/>
    <col min="3091" max="3328" width="8.88671875" style="64"/>
    <col min="3329" max="3329" width="4.6640625" style="64" customWidth="1"/>
    <col min="3330" max="3330" width="47.5546875" style="64" customWidth="1"/>
    <col min="3331" max="3331" width="13.5546875" style="64" customWidth="1"/>
    <col min="3332" max="3333" width="9.33203125" style="64" bestFit="1" customWidth="1"/>
    <col min="3334" max="3334" width="10.88671875" style="64" customWidth="1"/>
    <col min="3335" max="3335" width="10" style="64" bestFit="1" customWidth="1"/>
    <col min="3336" max="3337" width="9.33203125" style="64" bestFit="1" customWidth="1"/>
    <col min="3338" max="3338" width="10.33203125" style="64" bestFit="1" customWidth="1"/>
    <col min="3339" max="3339" width="10" style="64" bestFit="1" customWidth="1"/>
    <col min="3340" max="3341" width="9.33203125" style="64" bestFit="1" customWidth="1"/>
    <col min="3342" max="3343" width="9.88671875" style="64" bestFit="1" customWidth="1"/>
    <col min="3344" max="3344" width="10.88671875" style="64" bestFit="1" customWidth="1"/>
    <col min="3345" max="3346" width="0" style="64" hidden="1" customWidth="1"/>
    <col min="3347" max="3584" width="8.88671875" style="64"/>
    <col min="3585" max="3585" width="4.6640625" style="64" customWidth="1"/>
    <col min="3586" max="3586" width="47.5546875" style="64" customWidth="1"/>
    <col min="3587" max="3587" width="13.5546875" style="64" customWidth="1"/>
    <col min="3588" max="3589" width="9.33203125" style="64" bestFit="1" customWidth="1"/>
    <col min="3590" max="3590" width="10.88671875" style="64" customWidth="1"/>
    <col min="3591" max="3591" width="10" style="64" bestFit="1" customWidth="1"/>
    <col min="3592" max="3593" width="9.33203125" style="64" bestFit="1" customWidth="1"/>
    <col min="3594" max="3594" width="10.33203125" style="64" bestFit="1" customWidth="1"/>
    <col min="3595" max="3595" width="10" style="64" bestFit="1" customWidth="1"/>
    <col min="3596" max="3597" width="9.33203125" style="64" bestFit="1" customWidth="1"/>
    <col min="3598" max="3599" width="9.88671875" style="64" bestFit="1" customWidth="1"/>
    <col min="3600" max="3600" width="10.88671875" style="64" bestFit="1" customWidth="1"/>
    <col min="3601" max="3602" width="0" style="64" hidden="1" customWidth="1"/>
    <col min="3603" max="3840" width="8.88671875" style="64"/>
    <col min="3841" max="3841" width="4.6640625" style="64" customWidth="1"/>
    <col min="3842" max="3842" width="47.5546875" style="64" customWidth="1"/>
    <col min="3843" max="3843" width="13.5546875" style="64" customWidth="1"/>
    <col min="3844" max="3845" width="9.33203125" style="64" bestFit="1" customWidth="1"/>
    <col min="3846" max="3846" width="10.88671875" style="64" customWidth="1"/>
    <col min="3847" max="3847" width="10" style="64" bestFit="1" customWidth="1"/>
    <col min="3848" max="3849" width="9.33203125" style="64" bestFit="1" customWidth="1"/>
    <col min="3850" max="3850" width="10.33203125" style="64" bestFit="1" customWidth="1"/>
    <col min="3851" max="3851" width="10" style="64" bestFit="1" customWidth="1"/>
    <col min="3852" max="3853" width="9.33203125" style="64" bestFit="1" customWidth="1"/>
    <col min="3854" max="3855" width="9.88671875" style="64" bestFit="1" customWidth="1"/>
    <col min="3856" max="3856" width="10.88671875" style="64" bestFit="1" customWidth="1"/>
    <col min="3857" max="3858" width="0" style="64" hidden="1" customWidth="1"/>
    <col min="3859" max="4096" width="8.88671875" style="64"/>
    <col min="4097" max="4097" width="4.6640625" style="64" customWidth="1"/>
    <col min="4098" max="4098" width="47.5546875" style="64" customWidth="1"/>
    <col min="4099" max="4099" width="13.5546875" style="64" customWidth="1"/>
    <col min="4100" max="4101" width="9.33203125" style="64" bestFit="1" customWidth="1"/>
    <col min="4102" max="4102" width="10.88671875" style="64" customWidth="1"/>
    <col min="4103" max="4103" width="10" style="64" bestFit="1" customWidth="1"/>
    <col min="4104" max="4105" width="9.33203125" style="64" bestFit="1" customWidth="1"/>
    <col min="4106" max="4106" width="10.33203125" style="64" bestFit="1" customWidth="1"/>
    <col min="4107" max="4107" width="10" style="64" bestFit="1" customWidth="1"/>
    <col min="4108" max="4109" width="9.33203125" style="64" bestFit="1" customWidth="1"/>
    <col min="4110" max="4111" width="9.88671875" style="64" bestFit="1" customWidth="1"/>
    <col min="4112" max="4112" width="10.88671875" style="64" bestFit="1" customWidth="1"/>
    <col min="4113" max="4114" width="0" style="64" hidden="1" customWidth="1"/>
    <col min="4115" max="4352" width="8.88671875" style="64"/>
    <col min="4353" max="4353" width="4.6640625" style="64" customWidth="1"/>
    <col min="4354" max="4354" width="47.5546875" style="64" customWidth="1"/>
    <col min="4355" max="4355" width="13.5546875" style="64" customWidth="1"/>
    <col min="4356" max="4357" width="9.33203125" style="64" bestFit="1" customWidth="1"/>
    <col min="4358" max="4358" width="10.88671875" style="64" customWidth="1"/>
    <col min="4359" max="4359" width="10" style="64" bestFit="1" customWidth="1"/>
    <col min="4360" max="4361" width="9.33203125" style="64" bestFit="1" customWidth="1"/>
    <col min="4362" max="4362" width="10.33203125" style="64" bestFit="1" customWidth="1"/>
    <col min="4363" max="4363" width="10" style="64" bestFit="1" customWidth="1"/>
    <col min="4364" max="4365" width="9.33203125" style="64" bestFit="1" customWidth="1"/>
    <col min="4366" max="4367" width="9.88671875" style="64" bestFit="1" customWidth="1"/>
    <col min="4368" max="4368" width="10.88671875" style="64" bestFit="1" customWidth="1"/>
    <col min="4369" max="4370" width="0" style="64" hidden="1" customWidth="1"/>
    <col min="4371" max="4608" width="8.88671875" style="64"/>
    <col min="4609" max="4609" width="4.6640625" style="64" customWidth="1"/>
    <col min="4610" max="4610" width="47.5546875" style="64" customWidth="1"/>
    <col min="4611" max="4611" width="13.5546875" style="64" customWidth="1"/>
    <col min="4612" max="4613" width="9.33203125" style="64" bestFit="1" customWidth="1"/>
    <col min="4614" max="4614" width="10.88671875" style="64" customWidth="1"/>
    <col min="4615" max="4615" width="10" style="64" bestFit="1" customWidth="1"/>
    <col min="4616" max="4617" width="9.33203125" style="64" bestFit="1" customWidth="1"/>
    <col min="4618" max="4618" width="10.33203125" style="64" bestFit="1" customWidth="1"/>
    <col min="4619" max="4619" width="10" style="64" bestFit="1" customWidth="1"/>
    <col min="4620" max="4621" width="9.33203125" style="64" bestFit="1" customWidth="1"/>
    <col min="4622" max="4623" width="9.88671875" style="64" bestFit="1" customWidth="1"/>
    <col min="4624" max="4624" width="10.88671875" style="64" bestFit="1" customWidth="1"/>
    <col min="4625" max="4626" width="0" style="64" hidden="1" customWidth="1"/>
    <col min="4627" max="4864" width="8.88671875" style="64"/>
    <col min="4865" max="4865" width="4.6640625" style="64" customWidth="1"/>
    <col min="4866" max="4866" width="47.5546875" style="64" customWidth="1"/>
    <col min="4867" max="4867" width="13.5546875" style="64" customWidth="1"/>
    <col min="4868" max="4869" width="9.33203125" style="64" bestFit="1" customWidth="1"/>
    <col min="4870" max="4870" width="10.88671875" style="64" customWidth="1"/>
    <col min="4871" max="4871" width="10" style="64" bestFit="1" customWidth="1"/>
    <col min="4872" max="4873" width="9.33203125" style="64" bestFit="1" customWidth="1"/>
    <col min="4874" max="4874" width="10.33203125" style="64" bestFit="1" customWidth="1"/>
    <col min="4875" max="4875" width="10" style="64" bestFit="1" customWidth="1"/>
    <col min="4876" max="4877" width="9.33203125" style="64" bestFit="1" customWidth="1"/>
    <col min="4878" max="4879" width="9.88671875" style="64" bestFit="1" customWidth="1"/>
    <col min="4880" max="4880" width="10.88671875" style="64" bestFit="1" customWidth="1"/>
    <col min="4881" max="4882" width="0" style="64" hidden="1" customWidth="1"/>
    <col min="4883" max="5120" width="8.88671875" style="64"/>
    <col min="5121" max="5121" width="4.6640625" style="64" customWidth="1"/>
    <col min="5122" max="5122" width="47.5546875" style="64" customWidth="1"/>
    <col min="5123" max="5123" width="13.5546875" style="64" customWidth="1"/>
    <col min="5124" max="5125" width="9.33203125" style="64" bestFit="1" customWidth="1"/>
    <col min="5126" max="5126" width="10.88671875" style="64" customWidth="1"/>
    <col min="5127" max="5127" width="10" style="64" bestFit="1" customWidth="1"/>
    <col min="5128" max="5129" width="9.33203125" style="64" bestFit="1" customWidth="1"/>
    <col min="5130" max="5130" width="10.33203125" style="64" bestFit="1" customWidth="1"/>
    <col min="5131" max="5131" width="10" style="64" bestFit="1" customWidth="1"/>
    <col min="5132" max="5133" width="9.33203125" style="64" bestFit="1" customWidth="1"/>
    <col min="5134" max="5135" width="9.88671875" style="64" bestFit="1" customWidth="1"/>
    <col min="5136" max="5136" width="10.88671875" style="64" bestFit="1" customWidth="1"/>
    <col min="5137" max="5138" width="0" style="64" hidden="1" customWidth="1"/>
    <col min="5139" max="5376" width="8.88671875" style="64"/>
    <col min="5377" max="5377" width="4.6640625" style="64" customWidth="1"/>
    <col min="5378" max="5378" width="47.5546875" style="64" customWidth="1"/>
    <col min="5379" max="5379" width="13.5546875" style="64" customWidth="1"/>
    <col min="5380" max="5381" width="9.33203125" style="64" bestFit="1" customWidth="1"/>
    <col min="5382" max="5382" width="10.88671875" style="64" customWidth="1"/>
    <col min="5383" max="5383" width="10" style="64" bestFit="1" customWidth="1"/>
    <col min="5384" max="5385" width="9.33203125" style="64" bestFit="1" customWidth="1"/>
    <col min="5386" max="5386" width="10.33203125" style="64" bestFit="1" customWidth="1"/>
    <col min="5387" max="5387" width="10" style="64" bestFit="1" customWidth="1"/>
    <col min="5388" max="5389" width="9.33203125" style="64" bestFit="1" customWidth="1"/>
    <col min="5390" max="5391" width="9.88671875" style="64" bestFit="1" customWidth="1"/>
    <col min="5392" max="5392" width="10.88671875" style="64" bestFit="1" customWidth="1"/>
    <col min="5393" max="5394" width="0" style="64" hidden="1" customWidth="1"/>
    <col min="5395" max="5632" width="8.88671875" style="64"/>
    <col min="5633" max="5633" width="4.6640625" style="64" customWidth="1"/>
    <col min="5634" max="5634" width="47.5546875" style="64" customWidth="1"/>
    <col min="5635" max="5635" width="13.5546875" style="64" customWidth="1"/>
    <col min="5636" max="5637" width="9.33203125" style="64" bestFit="1" customWidth="1"/>
    <col min="5638" max="5638" width="10.88671875" style="64" customWidth="1"/>
    <col min="5639" max="5639" width="10" style="64" bestFit="1" customWidth="1"/>
    <col min="5640" max="5641" width="9.33203125" style="64" bestFit="1" customWidth="1"/>
    <col min="5642" max="5642" width="10.33203125" style="64" bestFit="1" customWidth="1"/>
    <col min="5643" max="5643" width="10" style="64" bestFit="1" customWidth="1"/>
    <col min="5644" max="5645" width="9.33203125" style="64" bestFit="1" customWidth="1"/>
    <col min="5646" max="5647" width="9.88671875" style="64" bestFit="1" customWidth="1"/>
    <col min="5648" max="5648" width="10.88671875" style="64" bestFit="1" customWidth="1"/>
    <col min="5649" max="5650" width="0" style="64" hidden="1" customWidth="1"/>
    <col min="5651" max="5888" width="8.88671875" style="64"/>
    <col min="5889" max="5889" width="4.6640625" style="64" customWidth="1"/>
    <col min="5890" max="5890" width="47.5546875" style="64" customWidth="1"/>
    <col min="5891" max="5891" width="13.5546875" style="64" customWidth="1"/>
    <col min="5892" max="5893" width="9.33203125" style="64" bestFit="1" customWidth="1"/>
    <col min="5894" max="5894" width="10.88671875" style="64" customWidth="1"/>
    <col min="5895" max="5895" width="10" style="64" bestFit="1" customWidth="1"/>
    <col min="5896" max="5897" width="9.33203125" style="64" bestFit="1" customWidth="1"/>
    <col min="5898" max="5898" width="10.33203125" style="64" bestFit="1" customWidth="1"/>
    <col min="5899" max="5899" width="10" style="64" bestFit="1" customWidth="1"/>
    <col min="5900" max="5901" width="9.33203125" style="64" bestFit="1" customWidth="1"/>
    <col min="5902" max="5903" width="9.88671875" style="64" bestFit="1" customWidth="1"/>
    <col min="5904" max="5904" width="10.88671875" style="64" bestFit="1" customWidth="1"/>
    <col min="5905" max="5906" width="0" style="64" hidden="1" customWidth="1"/>
    <col min="5907" max="6144" width="8.88671875" style="64"/>
    <col min="6145" max="6145" width="4.6640625" style="64" customWidth="1"/>
    <col min="6146" max="6146" width="47.5546875" style="64" customWidth="1"/>
    <col min="6147" max="6147" width="13.5546875" style="64" customWidth="1"/>
    <col min="6148" max="6149" width="9.33203125" style="64" bestFit="1" customWidth="1"/>
    <col min="6150" max="6150" width="10.88671875" style="64" customWidth="1"/>
    <col min="6151" max="6151" width="10" style="64" bestFit="1" customWidth="1"/>
    <col min="6152" max="6153" width="9.33203125" style="64" bestFit="1" customWidth="1"/>
    <col min="6154" max="6154" width="10.33203125" style="64" bestFit="1" customWidth="1"/>
    <col min="6155" max="6155" width="10" style="64" bestFit="1" customWidth="1"/>
    <col min="6156" max="6157" width="9.33203125" style="64" bestFit="1" customWidth="1"/>
    <col min="6158" max="6159" width="9.88671875" style="64" bestFit="1" customWidth="1"/>
    <col min="6160" max="6160" width="10.88671875" style="64" bestFit="1" customWidth="1"/>
    <col min="6161" max="6162" width="0" style="64" hidden="1" customWidth="1"/>
    <col min="6163" max="6400" width="8.88671875" style="64"/>
    <col min="6401" max="6401" width="4.6640625" style="64" customWidth="1"/>
    <col min="6402" max="6402" width="47.5546875" style="64" customWidth="1"/>
    <col min="6403" max="6403" width="13.5546875" style="64" customWidth="1"/>
    <col min="6404" max="6405" width="9.33203125" style="64" bestFit="1" customWidth="1"/>
    <col min="6406" max="6406" width="10.88671875" style="64" customWidth="1"/>
    <col min="6407" max="6407" width="10" style="64" bestFit="1" customWidth="1"/>
    <col min="6408" max="6409" width="9.33203125" style="64" bestFit="1" customWidth="1"/>
    <col min="6410" max="6410" width="10.33203125" style="64" bestFit="1" customWidth="1"/>
    <col min="6411" max="6411" width="10" style="64" bestFit="1" customWidth="1"/>
    <col min="6412" max="6413" width="9.33203125" style="64" bestFit="1" customWidth="1"/>
    <col min="6414" max="6415" width="9.88671875" style="64" bestFit="1" customWidth="1"/>
    <col min="6416" max="6416" width="10.88671875" style="64" bestFit="1" customWidth="1"/>
    <col min="6417" max="6418" width="0" style="64" hidden="1" customWidth="1"/>
    <col min="6419" max="6656" width="8.88671875" style="64"/>
    <col min="6657" max="6657" width="4.6640625" style="64" customWidth="1"/>
    <col min="6658" max="6658" width="47.5546875" style="64" customWidth="1"/>
    <col min="6659" max="6659" width="13.5546875" style="64" customWidth="1"/>
    <col min="6660" max="6661" width="9.33203125" style="64" bestFit="1" customWidth="1"/>
    <col min="6662" max="6662" width="10.88671875" style="64" customWidth="1"/>
    <col min="6663" max="6663" width="10" style="64" bestFit="1" customWidth="1"/>
    <col min="6664" max="6665" width="9.33203125" style="64" bestFit="1" customWidth="1"/>
    <col min="6666" max="6666" width="10.33203125" style="64" bestFit="1" customWidth="1"/>
    <col min="6667" max="6667" width="10" style="64" bestFit="1" customWidth="1"/>
    <col min="6668" max="6669" width="9.33203125" style="64" bestFit="1" customWidth="1"/>
    <col min="6670" max="6671" width="9.88671875" style="64" bestFit="1" customWidth="1"/>
    <col min="6672" max="6672" width="10.88671875" style="64" bestFit="1" customWidth="1"/>
    <col min="6673" max="6674" width="0" style="64" hidden="1" customWidth="1"/>
    <col min="6675" max="6912" width="8.88671875" style="64"/>
    <col min="6913" max="6913" width="4.6640625" style="64" customWidth="1"/>
    <col min="6914" max="6914" width="47.5546875" style="64" customWidth="1"/>
    <col min="6915" max="6915" width="13.5546875" style="64" customWidth="1"/>
    <col min="6916" max="6917" width="9.33203125" style="64" bestFit="1" customWidth="1"/>
    <col min="6918" max="6918" width="10.88671875" style="64" customWidth="1"/>
    <col min="6919" max="6919" width="10" style="64" bestFit="1" customWidth="1"/>
    <col min="6920" max="6921" width="9.33203125" style="64" bestFit="1" customWidth="1"/>
    <col min="6922" max="6922" width="10.33203125" style="64" bestFit="1" customWidth="1"/>
    <col min="6923" max="6923" width="10" style="64" bestFit="1" customWidth="1"/>
    <col min="6924" max="6925" width="9.33203125" style="64" bestFit="1" customWidth="1"/>
    <col min="6926" max="6927" width="9.88671875" style="64" bestFit="1" customWidth="1"/>
    <col min="6928" max="6928" width="10.88671875" style="64" bestFit="1" customWidth="1"/>
    <col min="6929" max="6930" width="0" style="64" hidden="1" customWidth="1"/>
    <col min="6931" max="7168" width="8.88671875" style="64"/>
    <col min="7169" max="7169" width="4.6640625" style="64" customWidth="1"/>
    <col min="7170" max="7170" width="47.5546875" style="64" customWidth="1"/>
    <col min="7171" max="7171" width="13.5546875" style="64" customWidth="1"/>
    <col min="7172" max="7173" width="9.33203125" style="64" bestFit="1" customWidth="1"/>
    <col min="7174" max="7174" width="10.88671875" style="64" customWidth="1"/>
    <col min="7175" max="7175" width="10" style="64" bestFit="1" customWidth="1"/>
    <col min="7176" max="7177" width="9.33203125" style="64" bestFit="1" customWidth="1"/>
    <col min="7178" max="7178" width="10.33203125" style="64" bestFit="1" customWidth="1"/>
    <col min="7179" max="7179" width="10" style="64" bestFit="1" customWidth="1"/>
    <col min="7180" max="7181" width="9.33203125" style="64" bestFit="1" customWidth="1"/>
    <col min="7182" max="7183" width="9.88671875" style="64" bestFit="1" customWidth="1"/>
    <col min="7184" max="7184" width="10.88671875" style="64" bestFit="1" customWidth="1"/>
    <col min="7185" max="7186" width="0" style="64" hidden="1" customWidth="1"/>
    <col min="7187" max="7424" width="8.88671875" style="64"/>
    <col min="7425" max="7425" width="4.6640625" style="64" customWidth="1"/>
    <col min="7426" max="7426" width="47.5546875" style="64" customWidth="1"/>
    <col min="7427" max="7427" width="13.5546875" style="64" customWidth="1"/>
    <col min="7428" max="7429" width="9.33203125" style="64" bestFit="1" customWidth="1"/>
    <col min="7430" max="7430" width="10.88671875" style="64" customWidth="1"/>
    <col min="7431" max="7431" width="10" style="64" bestFit="1" customWidth="1"/>
    <col min="7432" max="7433" width="9.33203125" style="64" bestFit="1" customWidth="1"/>
    <col min="7434" max="7434" width="10.33203125" style="64" bestFit="1" customWidth="1"/>
    <col min="7435" max="7435" width="10" style="64" bestFit="1" customWidth="1"/>
    <col min="7436" max="7437" width="9.33203125" style="64" bestFit="1" customWidth="1"/>
    <col min="7438" max="7439" width="9.88671875" style="64" bestFit="1" customWidth="1"/>
    <col min="7440" max="7440" width="10.88671875" style="64" bestFit="1" customWidth="1"/>
    <col min="7441" max="7442" width="0" style="64" hidden="1" customWidth="1"/>
    <col min="7443" max="7680" width="8.88671875" style="64"/>
    <col min="7681" max="7681" width="4.6640625" style="64" customWidth="1"/>
    <col min="7682" max="7682" width="47.5546875" style="64" customWidth="1"/>
    <col min="7683" max="7683" width="13.5546875" style="64" customWidth="1"/>
    <col min="7684" max="7685" width="9.33203125" style="64" bestFit="1" customWidth="1"/>
    <col min="7686" max="7686" width="10.88671875" style="64" customWidth="1"/>
    <col min="7687" max="7687" width="10" style="64" bestFit="1" customWidth="1"/>
    <col min="7688" max="7689" width="9.33203125" style="64" bestFit="1" customWidth="1"/>
    <col min="7690" max="7690" width="10.33203125" style="64" bestFit="1" customWidth="1"/>
    <col min="7691" max="7691" width="10" style="64" bestFit="1" customWidth="1"/>
    <col min="7692" max="7693" width="9.33203125" style="64" bestFit="1" customWidth="1"/>
    <col min="7694" max="7695" width="9.88671875" style="64" bestFit="1" customWidth="1"/>
    <col min="7696" max="7696" width="10.88671875" style="64" bestFit="1" customWidth="1"/>
    <col min="7697" max="7698" width="0" style="64" hidden="1" customWidth="1"/>
    <col min="7699" max="7936" width="8.88671875" style="64"/>
    <col min="7937" max="7937" width="4.6640625" style="64" customWidth="1"/>
    <col min="7938" max="7938" width="47.5546875" style="64" customWidth="1"/>
    <col min="7939" max="7939" width="13.5546875" style="64" customWidth="1"/>
    <col min="7940" max="7941" width="9.33203125" style="64" bestFit="1" customWidth="1"/>
    <col min="7942" max="7942" width="10.88671875" style="64" customWidth="1"/>
    <col min="7943" max="7943" width="10" style="64" bestFit="1" customWidth="1"/>
    <col min="7944" max="7945" width="9.33203125" style="64" bestFit="1" customWidth="1"/>
    <col min="7946" max="7946" width="10.33203125" style="64" bestFit="1" customWidth="1"/>
    <col min="7947" max="7947" width="10" style="64" bestFit="1" customWidth="1"/>
    <col min="7948" max="7949" width="9.33203125" style="64" bestFit="1" customWidth="1"/>
    <col min="7950" max="7951" width="9.88671875" style="64" bestFit="1" customWidth="1"/>
    <col min="7952" max="7952" width="10.88671875" style="64" bestFit="1" customWidth="1"/>
    <col min="7953" max="7954" width="0" style="64" hidden="1" customWidth="1"/>
    <col min="7955" max="8192" width="8.88671875" style="64"/>
    <col min="8193" max="8193" width="4.6640625" style="64" customWidth="1"/>
    <col min="8194" max="8194" width="47.5546875" style="64" customWidth="1"/>
    <col min="8195" max="8195" width="13.5546875" style="64" customWidth="1"/>
    <col min="8196" max="8197" width="9.33203125" style="64" bestFit="1" customWidth="1"/>
    <col min="8198" max="8198" width="10.88671875" style="64" customWidth="1"/>
    <col min="8199" max="8199" width="10" style="64" bestFit="1" customWidth="1"/>
    <col min="8200" max="8201" width="9.33203125" style="64" bestFit="1" customWidth="1"/>
    <col min="8202" max="8202" width="10.33203125" style="64" bestFit="1" customWidth="1"/>
    <col min="8203" max="8203" width="10" style="64" bestFit="1" customWidth="1"/>
    <col min="8204" max="8205" width="9.33203125" style="64" bestFit="1" customWidth="1"/>
    <col min="8206" max="8207" width="9.88671875" style="64" bestFit="1" customWidth="1"/>
    <col min="8208" max="8208" width="10.88671875" style="64" bestFit="1" customWidth="1"/>
    <col min="8209" max="8210" width="0" style="64" hidden="1" customWidth="1"/>
    <col min="8211" max="8448" width="8.88671875" style="64"/>
    <col min="8449" max="8449" width="4.6640625" style="64" customWidth="1"/>
    <col min="8450" max="8450" width="47.5546875" style="64" customWidth="1"/>
    <col min="8451" max="8451" width="13.5546875" style="64" customWidth="1"/>
    <col min="8452" max="8453" width="9.33203125" style="64" bestFit="1" customWidth="1"/>
    <col min="8454" max="8454" width="10.88671875" style="64" customWidth="1"/>
    <col min="8455" max="8455" width="10" style="64" bestFit="1" customWidth="1"/>
    <col min="8456" max="8457" width="9.33203125" style="64" bestFit="1" customWidth="1"/>
    <col min="8458" max="8458" width="10.33203125" style="64" bestFit="1" customWidth="1"/>
    <col min="8459" max="8459" width="10" style="64" bestFit="1" customWidth="1"/>
    <col min="8460" max="8461" width="9.33203125" style="64" bestFit="1" customWidth="1"/>
    <col min="8462" max="8463" width="9.88671875" style="64" bestFit="1" customWidth="1"/>
    <col min="8464" max="8464" width="10.88671875" style="64" bestFit="1" customWidth="1"/>
    <col min="8465" max="8466" width="0" style="64" hidden="1" customWidth="1"/>
    <col min="8467" max="8704" width="8.88671875" style="64"/>
    <col min="8705" max="8705" width="4.6640625" style="64" customWidth="1"/>
    <col min="8706" max="8706" width="47.5546875" style="64" customWidth="1"/>
    <col min="8707" max="8707" width="13.5546875" style="64" customWidth="1"/>
    <col min="8708" max="8709" width="9.33203125" style="64" bestFit="1" customWidth="1"/>
    <col min="8710" max="8710" width="10.88671875" style="64" customWidth="1"/>
    <col min="8711" max="8711" width="10" style="64" bestFit="1" customWidth="1"/>
    <col min="8712" max="8713" width="9.33203125" style="64" bestFit="1" customWidth="1"/>
    <col min="8714" max="8714" width="10.33203125" style="64" bestFit="1" customWidth="1"/>
    <col min="8715" max="8715" width="10" style="64" bestFit="1" customWidth="1"/>
    <col min="8716" max="8717" width="9.33203125" style="64" bestFit="1" customWidth="1"/>
    <col min="8718" max="8719" width="9.88671875" style="64" bestFit="1" customWidth="1"/>
    <col min="8720" max="8720" width="10.88671875" style="64" bestFit="1" customWidth="1"/>
    <col min="8721" max="8722" width="0" style="64" hidden="1" customWidth="1"/>
    <col min="8723" max="8960" width="8.88671875" style="64"/>
    <col min="8961" max="8961" width="4.6640625" style="64" customWidth="1"/>
    <col min="8962" max="8962" width="47.5546875" style="64" customWidth="1"/>
    <col min="8963" max="8963" width="13.5546875" style="64" customWidth="1"/>
    <col min="8964" max="8965" width="9.33203125" style="64" bestFit="1" customWidth="1"/>
    <col min="8966" max="8966" width="10.88671875" style="64" customWidth="1"/>
    <col min="8967" max="8967" width="10" style="64" bestFit="1" customWidth="1"/>
    <col min="8968" max="8969" width="9.33203125" style="64" bestFit="1" customWidth="1"/>
    <col min="8970" max="8970" width="10.33203125" style="64" bestFit="1" customWidth="1"/>
    <col min="8971" max="8971" width="10" style="64" bestFit="1" customWidth="1"/>
    <col min="8972" max="8973" width="9.33203125" style="64" bestFit="1" customWidth="1"/>
    <col min="8974" max="8975" width="9.88671875" style="64" bestFit="1" customWidth="1"/>
    <col min="8976" max="8976" width="10.88671875" style="64" bestFit="1" customWidth="1"/>
    <col min="8977" max="8978" width="0" style="64" hidden="1" customWidth="1"/>
    <col min="8979" max="9216" width="8.88671875" style="64"/>
    <col min="9217" max="9217" width="4.6640625" style="64" customWidth="1"/>
    <col min="9218" max="9218" width="47.5546875" style="64" customWidth="1"/>
    <col min="9219" max="9219" width="13.5546875" style="64" customWidth="1"/>
    <col min="9220" max="9221" width="9.33203125" style="64" bestFit="1" customWidth="1"/>
    <col min="9222" max="9222" width="10.88671875" style="64" customWidth="1"/>
    <col min="9223" max="9223" width="10" style="64" bestFit="1" customWidth="1"/>
    <col min="9224" max="9225" width="9.33203125" style="64" bestFit="1" customWidth="1"/>
    <col min="9226" max="9226" width="10.33203125" style="64" bestFit="1" customWidth="1"/>
    <col min="9227" max="9227" width="10" style="64" bestFit="1" customWidth="1"/>
    <col min="9228" max="9229" width="9.33203125" style="64" bestFit="1" customWidth="1"/>
    <col min="9230" max="9231" width="9.88671875" style="64" bestFit="1" customWidth="1"/>
    <col min="9232" max="9232" width="10.88671875" style="64" bestFit="1" customWidth="1"/>
    <col min="9233" max="9234" width="0" style="64" hidden="1" customWidth="1"/>
    <col min="9235" max="9472" width="8.88671875" style="64"/>
    <col min="9473" max="9473" width="4.6640625" style="64" customWidth="1"/>
    <col min="9474" max="9474" width="47.5546875" style="64" customWidth="1"/>
    <col min="9475" max="9475" width="13.5546875" style="64" customWidth="1"/>
    <col min="9476" max="9477" width="9.33203125" style="64" bestFit="1" customWidth="1"/>
    <col min="9478" max="9478" width="10.88671875" style="64" customWidth="1"/>
    <col min="9479" max="9479" width="10" style="64" bestFit="1" customWidth="1"/>
    <col min="9480" max="9481" width="9.33203125" style="64" bestFit="1" customWidth="1"/>
    <col min="9482" max="9482" width="10.33203125" style="64" bestFit="1" customWidth="1"/>
    <col min="9483" max="9483" width="10" style="64" bestFit="1" customWidth="1"/>
    <col min="9484" max="9485" width="9.33203125" style="64" bestFit="1" customWidth="1"/>
    <col min="9486" max="9487" width="9.88671875" style="64" bestFit="1" customWidth="1"/>
    <col min="9488" max="9488" width="10.88671875" style="64" bestFit="1" customWidth="1"/>
    <col min="9489" max="9490" width="0" style="64" hidden="1" customWidth="1"/>
    <col min="9491" max="9728" width="8.88671875" style="64"/>
    <col min="9729" max="9729" width="4.6640625" style="64" customWidth="1"/>
    <col min="9730" max="9730" width="47.5546875" style="64" customWidth="1"/>
    <col min="9731" max="9731" width="13.5546875" style="64" customWidth="1"/>
    <col min="9732" max="9733" width="9.33203125" style="64" bestFit="1" customWidth="1"/>
    <col min="9734" max="9734" width="10.88671875" style="64" customWidth="1"/>
    <col min="9735" max="9735" width="10" style="64" bestFit="1" customWidth="1"/>
    <col min="9736" max="9737" width="9.33203125" style="64" bestFit="1" customWidth="1"/>
    <col min="9738" max="9738" width="10.33203125" style="64" bestFit="1" customWidth="1"/>
    <col min="9739" max="9739" width="10" style="64" bestFit="1" customWidth="1"/>
    <col min="9740" max="9741" width="9.33203125" style="64" bestFit="1" customWidth="1"/>
    <col min="9742" max="9743" width="9.88671875" style="64" bestFit="1" customWidth="1"/>
    <col min="9744" max="9744" width="10.88671875" style="64" bestFit="1" customWidth="1"/>
    <col min="9745" max="9746" width="0" style="64" hidden="1" customWidth="1"/>
    <col min="9747" max="9984" width="8.88671875" style="64"/>
    <col min="9985" max="9985" width="4.6640625" style="64" customWidth="1"/>
    <col min="9986" max="9986" width="47.5546875" style="64" customWidth="1"/>
    <col min="9987" max="9987" width="13.5546875" style="64" customWidth="1"/>
    <col min="9988" max="9989" width="9.33203125" style="64" bestFit="1" customWidth="1"/>
    <col min="9990" max="9990" width="10.88671875" style="64" customWidth="1"/>
    <col min="9991" max="9991" width="10" style="64" bestFit="1" customWidth="1"/>
    <col min="9992" max="9993" width="9.33203125" style="64" bestFit="1" customWidth="1"/>
    <col min="9994" max="9994" width="10.33203125" style="64" bestFit="1" customWidth="1"/>
    <col min="9995" max="9995" width="10" style="64" bestFit="1" customWidth="1"/>
    <col min="9996" max="9997" width="9.33203125" style="64" bestFit="1" customWidth="1"/>
    <col min="9998" max="9999" width="9.88671875" style="64" bestFit="1" customWidth="1"/>
    <col min="10000" max="10000" width="10.88671875" style="64" bestFit="1" customWidth="1"/>
    <col min="10001" max="10002" width="0" style="64" hidden="1" customWidth="1"/>
    <col min="10003" max="10240" width="8.88671875" style="64"/>
    <col min="10241" max="10241" width="4.6640625" style="64" customWidth="1"/>
    <col min="10242" max="10242" width="47.5546875" style="64" customWidth="1"/>
    <col min="10243" max="10243" width="13.5546875" style="64" customWidth="1"/>
    <col min="10244" max="10245" width="9.33203125" style="64" bestFit="1" customWidth="1"/>
    <col min="10246" max="10246" width="10.88671875" style="64" customWidth="1"/>
    <col min="10247" max="10247" width="10" style="64" bestFit="1" customWidth="1"/>
    <col min="10248" max="10249" width="9.33203125" style="64" bestFit="1" customWidth="1"/>
    <col min="10250" max="10250" width="10.33203125" style="64" bestFit="1" customWidth="1"/>
    <col min="10251" max="10251" width="10" style="64" bestFit="1" customWidth="1"/>
    <col min="10252" max="10253" width="9.33203125" style="64" bestFit="1" customWidth="1"/>
    <col min="10254" max="10255" width="9.88671875" style="64" bestFit="1" customWidth="1"/>
    <col min="10256" max="10256" width="10.88671875" style="64" bestFit="1" customWidth="1"/>
    <col min="10257" max="10258" width="0" style="64" hidden="1" customWidth="1"/>
    <col min="10259" max="10496" width="8.88671875" style="64"/>
    <col min="10497" max="10497" width="4.6640625" style="64" customWidth="1"/>
    <col min="10498" max="10498" width="47.5546875" style="64" customWidth="1"/>
    <col min="10499" max="10499" width="13.5546875" style="64" customWidth="1"/>
    <col min="10500" max="10501" width="9.33203125" style="64" bestFit="1" customWidth="1"/>
    <col min="10502" max="10502" width="10.88671875" style="64" customWidth="1"/>
    <col min="10503" max="10503" width="10" style="64" bestFit="1" customWidth="1"/>
    <col min="10504" max="10505" width="9.33203125" style="64" bestFit="1" customWidth="1"/>
    <col min="10506" max="10506" width="10.33203125" style="64" bestFit="1" customWidth="1"/>
    <col min="10507" max="10507" width="10" style="64" bestFit="1" customWidth="1"/>
    <col min="10508" max="10509" width="9.33203125" style="64" bestFit="1" customWidth="1"/>
    <col min="10510" max="10511" width="9.88671875" style="64" bestFit="1" customWidth="1"/>
    <col min="10512" max="10512" width="10.88671875" style="64" bestFit="1" customWidth="1"/>
    <col min="10513" max="10514" width="0" style="64" hidden="1" customWidth="1"/>
    <col min="10515" max="10752" width="8.88671875" style="64"/>
    <col min="10753" max="10753" width="4.6640625" style="64" customWidth="1"/>
    <col min="10754" max="10754" width="47.5546875" style="64" customWidth="1"/>
    <col min="10755" max="10755" width="13.5546875" style="64" customWidth="1"/>
    <col min="10756" max="10757" width="9.33203125" style="64" bestFit="1" customWidth="1"/>
    <col min="10758" max="10758" width="10.88671875" style="64" customWidth="1"/>
    <col min="10759" max="10759" width="10" style="64" bestFit="1" customWidth="1"/>
    <col min="10760" max="10761" width="9.33203125" style="64" bestFit="1" customWidth="1"/>
    <col min="10762" max="10762" width="10.33203125" style="64" bestFit="1" customWidth="1"/>
    <col min="10763" max="10763" width="10" style="64" bestFit="1" customWidth="1"/>
    <col min="10764" max="10765" width="9.33203125" style="64" bestFit="1" customWidth="1"/>
    <col min="10766" max="10767" width="9.88671875" style="64" bestFit="1" customWidth="1"/>
    <col min="10768" max="10768" width="10.88671875" style="64" bestFit="1" customWidth="1"/>
    <col min="10769" max="10770" width="0" style="64" hidden="1" customWidth="1"/>
    <col min="10771" max="11008" width="8.88671875" style="64"/>
    <col min="11009" max="11009" width="4.6640625" style="64" customWidth="1"/>
    <col min="11010" max="11010" width="47.5546875" style="64" customWidth="1"/>
    <col min="11011" max="11011" width="13.5546875" style="64" customWidth="1"/>
    <col min="11012" max="11013" width="9.33203125" style="64" bestFit="1" customWidth="1"/>
    <col min="11014" max="11014" width="10.88671875" style="64" customWidth="1"/>
    <col min="11015" max="11015" width="10" style="64" bestFit="1" customWidth="1"/>
    <col min="11016" max="11017" width="9.33203125" style="64" bestFit="1" customWidth="1"/>
    <col min="11018" max="11018" width="10.33203125" style="64" bestFit="1" customWidth="1"/>
    <col min="11019" max="11019" width="10" style="64" bestFit="1" customWidth="1"/>
    <col min="11020" max="11021" width="9.33203125" style="64" bestFit="1" customWidth="1"/>
    <col min="11022" max="11023" width="9.88671875" style="64" bestFit="1" customWidth="1"/>
    <col min="11024" max="11024" width="10.88671875" style="64" bestFit="1" customWidth="1"/>
    <col min="11025" max="11026" width="0" style="64" hidden="1" customWidth="1"/>
    <col min="11027" max="11264" width="8.88671875" style="64"/>
    <col min="11265" max="11265" width="4.6640625" style="64" customWidth="1"/>
    <col min="11266" max="11266" width="47.5546875" style="64" customWidth="1"/>
    <col min="11267" max="11267" width="13.5546875" style="64" customWidth="1"/>
    <col min="11268" max="11269" width="9.33203125" style="64" bestFit="1" customWidth="1"/>
    <col min="11270" max="11270" width="10.88671875" style="64" customWidth="1"/>
    <col min="11271" max="11271" width="10" style="64" bestFit="1" customWidth="1"/>
    <col min="11272" max="11273" width="9.33203125" style="64" bestFit="1" customWidth="1"/>
    <col min="11274" max="11274" width="10.33203125" style="64" bestFit="1" customWidth="1"/>
    <col min="11275" max="11275" width="10" style="64" bestFit="1" customWidth="1"/>
    <col min="11276" max="11277" width="9.33203125" style="64" bestFit="1" customWidth="1"/>
    <col min="11278" max="11279" width="9.88671875" style="64" bestFit="1" customWidth="1"/>
    <col min="11280" max="11280" width="10.88671875" style="64" bestFit="1" customWidth="1"/>
    <col min="11281" max="11282" width="0" style="64" hidden="1" customWidth="1"/>
    <col min="11283" max="11520" width="8.88671875" style="64"/>
    <col min="11521" max="11521" width="4.6640625" style="64" customWidth="1"/>
    <col min="11522" max="11522" width="47.5546875" style="64" customWidth="1"/>
    <col min="11523" max="11523" width="13.5546875" style="64" customWidth="1"/>
    <col min="11524" max="11525" width="9.33203125" style="64" bestFit="1" customWidth="1"/>
    <col min="11526" max="11526" width="10.88671875" style="64" customWidth="1"/>
    <col min="11527" max="11527" width="10" style="64" bestFit="1" customWidth="1"/>
    <col min="11528" max="11529" width="9.33203125" style="64" bestFit="1" customWidth="1"/>
    <col min="11530" max="11530" width="10.33203125" style="64" bestFit="1" customWidth="1"/>
    <col min="11531" max="11531" width="10" style="64" bestFit="1" customWidth="1"/>
    <col min="11532" max="11533" width="9.33203125" style="64" bestFit="1" customWidth="1"/>
    <col min="11534" max="11535" width="9.88671875" style="64" bestFit="1" customWidth="1"/>
    <col min="11536" max="11536" width="10.88671875" style="64" bestFit="1" customWidth="1"/>
    <col min="11537" max="11538" width="0" style="64" hidden="1" customWidth="1"/>
    <col min="11539" max="11776" width="8.88671875" style="64"/>
    <col min="11777" max="11777" width="4.6640625" style="64" customWidth="1"/>
    <col min="11778" max="11778" width="47.5546875" style="64" customWidth="1"/>
    <col min="11779" max="11779" width="13.5546875" style="64" customWidth="1"/>
    <col min="11780" max="11781" width="9.33203125" style="64" bestFit="1" customWidth="1"/>
    <col min="11782" max="11782" width="10.88671875" style="64" customWidth="1"/>
    <col min="11783" max="11783" width="10" style="64" bestFit="1" customWidth="1"/>
    <col min="11784" max="11785" width="9.33203125" style="64" bestFit="1" customWidth="1"/>
    <col min="11786" max="11786" width="10.33203125" style="64" bestFit="1" customWidth="1"/>
    <col min="11787" max="11787" width="10" style="64" bestFit="1" customWidth="1"/>
    <col min="11788" max="11789" width="9.33203125" style="64" bestFit="1" customWidth="1"/>
    <col min="11790" max="11791" width="9.88671875" style="64" bestFit="1" customWidth="1"/>
    <col min="11792" max="11792" width="10.88671875" style="64" bestFit="1" customWidth="1"/>
    <col min="11793" max="11794" width="0" style="64" hidden="1" customWidth="1"/>
    <col min="11795" max="12032" width="8.88671875" style="64"/>
    <col min="12033" max="12033" width="4.6640625" style="64" customWidth="1"/>
    <col min="12034" max="12034" width="47.5546875" style="64" customWidth="1"/>
    <col min="12035" max="12035" width="13.5546875" style="64" customWidth="1"/>
    <col min="12036" max="12037" width="9.33203125" style="64" bestFit="1" customWidth="1"/>
    <col min="12038" max="12038" width="10.88671875" style="64" customWidth="1"/>
    <col min="12039" max="12039" width="10" style="64" bestFit="1" customWidth="1"/>
    <col min="12040" max="12041" width="9.33203125" style="64" bestFit="1" customWidth="1"/>
    <col min="12042" max="12042" width="10.33203125" style="64" bestFit="1" customWidth="1"/>
    <col min="12043" max="12043" width="10" style="64" bestFit="1" customWidth="1"/>
    <col min="12044" max="12045" width="9.33203125" style="64" bestFit="1" customWidth="1"/>
    <col min="12046" max="12047" width="9.88671875" style="64" bestFit="1" customWidth="1"/>
    <col min="12048" max="12048" width="10.88671875" style="64" bestFit="1" customWidth="1"/>
    <col min="12049" max="12050" width="0" style="64" hidden="1" customWidth="1"/>
    <col min="12051" max="12288" width="8.88671875" style="64"/>
    <col min="12289" max="12289" width="4.6640625" style="64" customWidth="1"/>
    <col min="12290" max="12290" width="47.5546875" style="64" customWidth="1"/>
    <col min="12291" max="12291" width="13.5546875" style="64" customWidth="1"/>
    <col min="12292" max="12293" width="9.33203125" style="64" bestFit="1" customWidth="1"/>
    <col min="12294" max="12294" width="10.88671875" style="64" customWidth="1"/>
    <col min="12295" max="12295" width="10" style="64" bestFit="1" customWidth="1"/>
    <col min="12296" max="12297" width="9.33203125" style="64" bestFit="1" customWidth="1"/>
    <col min="12298" max="12298" width="10.33203125" style="64" bestFit="1" customWidth="1"/>
    <col min="12299" max="12299" width="10" style="64" bestFit="1" customWidth="1"/>
    <col min="12300" max="12301" width="9.33203125" style="64" bestFit="1" customWidth="1"/>
    <col min="12302" max="12303" width="9.88671875" style="64" bestFit="1" customWidth="1"/>
    <col min="12304" max="12304" width="10.88671875" style="64" bestFit="1" customWidth="1"/>
    <col min="12305" max="12306" width="0" style="64" hidden="1" customWidth="1"/>
    <col min="12307" max="12544" width="8.88671875" style="64"/>
    <col min="12545" max="12545" width="4.6640625" style="64" customWidth="1"/>
    <col min="12546" max="12546" width="47.5546875" style="64" customWidth="1"/>
    <col min="12547" max="12547" width="13.5546875" style="64" customWidth="1"/>
    <col min="12548" max="12549" width="9.33203125" style="64" bestFit="1" customWidth="1"/>
    <col min="12550" max="12550" width="10.88671875" style="64" customWidth="1"/>
    <col min="12551" max="12551" width="10" style="64" bestFit="1" customWidth="1"/>
    <col min="12552" max="12553" width="9.33203125" style="64" bestFit="1" customWidth="1"/>
    <col min="12554" max="12554" width="10.33203125" style="64" bestFit="1" customWidth="1"/>
    <col min="12555" max="12555" width="10" style="64" bestFit="1" customWidth="1"/>
    <col min="12556" max="12557" width="9.33203125" style="64" bestFit="1" customWidth="1"/>
    <col min="12558" max="12559" width="9.88671875" style="64" bestFit="1" customWidth="1"/>
    <col min="12560" max="12560" width="10.88671875" style="64" bestFit="1" customWidth="1"/>
    <col min="12561" max="12562" width="0" style="64" hidden="1" customWidth="1"/>
    <col min="12563" max="12800" width="8.88671875" style="64"/>
    <col min="12801" max="12801" width="4.6640625" style="64" customWidth="1"/>
    <col min="12802" max="12802" width="47.5546875" style="64" customWidth="1"/>
    <col min="12803" max="12803" width="13.5546875" style="64" customWidth="1"/>
    <col min="12804" max="12805" width="9.33203125" style="64" bestFit="1" customWidth="1"/>
    <col min="12806" max="12806" width="10.88671875" style="64" customWidth="1"/>
    <col min="12807" max="12807" width="10" style="64" bestFit="1" customWidth="1"/>
    <col min="12808" max="12809" width="9.33203125" style="64" bestFit="1" customWidth="1"/>
    <col min="12810" max="12810" width="10.33203125" style="64" bestFit="1" customWidth="1"/>
    <col min="12811" max="12811" width="10" style="64" bestFit="1" customWidth="1"/>
    <col min="12812" max="12813" width="9.33203125" style="64" bestFit="1" customWidth="1"/>
    <col min="12814" max="12815" width="9.88671875" style="64" bestFit="1" customWidth="1"/>
    <col min="12816" max="12816" width="10.88671875" style="64" bestFit="1" customWidth="1"/>
    <col min="12817" max="12818" width="0" style="64" hidden="1" customWidth="1"/>
    <col min="12819" max="13056" width="8.88671875" style="64"/>
    <col min="13057" max="13057" width="4.6640625" style="64" customWidth="1"/>
    <col min="13058" max="13058" width="47.5546875" style="64" customWidth="1"/>
    <col min="13059" max="13059" width="13.5546875" style="64" customWidth="1"/>
    <col min="13060" max="13061" width="9.33203125" style="64" bestFit="1" customWidth="1"/>
    <col min="13062" max="13062" width="10.88671875" style="64" customWidth="1"/>
    <col min="13063" max="13063" width="10" style="64" bestFit="1" customWidth="1"/>
    <col min="13064" max="13065" width="9.33203125" style="64" bestFit="1" customWidth="1"/>
    <col min="13066" max="13066" width="10.33203125" style="64" bestFit="1" customWidth="1"/>
    <col min="13067" max="13067" width="10" style="64" bestFit="1" customWidth="1"/>
    <col min="13068" max="13069" width="9.33203125" style="64" bestFit="1" customWidth="1"/>
    <col min="13070" max="13071" width="9.88671875" style="64" bestFit="1" customWidth="1"/>
    <col min="13072" max="13072" width="10.88671875" style="64" bestFit="1" customWidth="1"/>
    <col min="13073" max="13074" width="0" style="64" hidden="1" customWidth="1"/>
    <col min="13075" max="13312" width="8.88671875" style="64"/>
    <col min="13313" max="13313" width="4.6640625" style="64" customWidth="1"/>
    <col min="13314" max="13314" width="47.5546875" style="64" customWidth="1"/>
    <col min="13315" max="13315" width="13.5546875" style="64" customWidth="1"/>
    <col min="13316" max="13317" width="9.33203125" style="64" bestFit="1" customWidth="1"/>
    <col min="13318" max="13318" width="10.88671875" style="64" customWidth="1"/>
    <col min="13319" max="13319" width="10" style="64" bestFit="1" customWidth="1"/>
    <col min="13320" max="13321" width="9.33203125" style="64" bestFit="1" customWidth="1"/>
    <col min="13322" max="13322" width="10.33203125" style="64" bestFit="1" customWidth="1"/>
    <col min="13323" max="13323" width="10" style="64" bestFit="1" customWidth="1"/>
    <col min="13324" max="13325" width="9.33203125" style="64" bestFit="1" customWidth="1"/>
    <col min="13326" max="13327" width="9.88671875" style="64" bestFit="1" customWidth="1"/>
    <col min="13328" max="13328" width="10.88671875" style="64" bestFit="1" customWidth="1"/>
    <col min="13329" max="13330" width="0" style="64" hidden="1" customWidth="1"/>
    <col min="13331" max="13568" width="8.88671875" style="64"/>
    <col min="13569" max="13569" width="4.6640625" style="64" customWidth="1"/>
    <col min="13570" max="13570" width="47.5546875" style="64" customWidth="1"/>
    <col min="13571" max="13571" width="13.5546875" style="64" customWidth="1"/>
    <col min="13572" max="13573" width="9.33203125" style="64" bestFit="1" customWidth="1"/>
    <col min="13574" max="13574" width="10.88671875" style="64" customWidth="1"/>
    <col min="13575" max="13575" width="10" style="64" bestFit="1" customWidth="1"/>
    <col min="13576" max="13577" width="9.33203125" style="64" bestFit="1" customWidth="1"/>
    <col min="13578" max="13578" width="10.33203125" style="64" bestFit="1" customWidth="1"/>
    <col min="13579" max="13579" width="10" style="64" bestFit="1" customWidth="1"/>
    <col min="13580" max="13581" width="9.33203125" style="64" bestFit="1" customWidth="1"/>
    <col min="13582" max="13583" width="9.88671875" style="64" bestFit="1" customWidth="1"/>
    <col min="13584" max="13584" width="10.88671875" style="64" bestFit="1" customWidth="1"/>
    <col min="13585" max="13586" width="0" style="64" hidden="1" customWidth="1"/>
    <col min="13587" max="13824" width="8.88671875" style="64"/>
    <col min="13825" max="13825" width="4.6640625" style="64" customWidth="1"/>
    <col min="13826" max="13826" width="47.5546875" style="64" customWidth="1"/>
    <col min="13827" max="13827" width="13.5546875" style="64" customWidth="1"/>
    <col min="13828" max="13829" width="9.33203125" style="64" bestFit="1" customWidth="1"/>
    <col min="13830" max="13830" width="10.88671875" style="64" customWidth="1"/>
    <col min="13831" max="13831" width="10" style="64" bestFit="1" customWidth="1"/>
    <col min="13832" max="13833" width="9.33203125" style="64" bestFit="1" customWidth="1"/>
    <col min="13834" max="13834" width="10.33203125" style="64" bestFit="1" customWidth="1"/>
    <col min="13835" max="13835" width="10" style="64" bestFit="1" customWidth="1"/>
    <col min="13836" max="13837" width="9.33203125" style="64" bestFit="1" customWidth="1"/>
    <col min="13838" max="13839" width="9.88671875" style="64" bestFit="1" customWidth="1"/>
    <col min="13840" max="13840" width="10.88671875" style="64" bestFit="1" customWidth="1"/>
    <col min="13841" max="13842" width="0" style="64" hidden="1" customWidth="1"/>
    <col min="13843" max="14080" width="8.88671875" style="64"/>
    <col min="14081" max="14081" width="4.6640625" style="64" customWidth="1"/>
    <col min="14082" max="14082" width="47.5546875" style="64" customWidth="1"/>
    <col min="14083" max="14083" width="13.5546875" style="64" customWidth="1"/>
    <col min="14084" max="14085" width="9.33203125" style="64" bestFit="1" customWidth="1"/>
    <col min="14086" max="14086" width="10.88671875" style="64" customWidth="1"/>
    <col min="14087" max="14087" width="10" style="64" bestFit="1" customWidth="1"/>
    <col min="14088" max="14089" width="9.33203125" style="64" bestFit="1" customWidth="1"/>
    <col min="14090" max="14090" width="10.33203125" style="64" bestFit="1" customWidth="1"/>
    <col min="14091" max="14091" width="10" style="64" bestFit="1" customWidth="1"/>
    <col min="14092" max="14093" width="9.33203125" style="64" bestFit="1" customWidth="1"/>
    <col min="14094" max="14095" width="9.88671875" style="64" bestFit="1" customWidth="1"/>
    <col min="14096" max="14096" width="10.88671875" style="64" bestFit="1" customWidth="1"/>
    <col min="14097" max="14098" width="0" style="64" hidden="1" customWidth="1"/>
    <col min="14099" max="14336" width="8.88671875" style="64"/>
    <col min="14337" max="14337" width="4.6640625" style="64" customWidth="1"/>
    <col min="14338" max="14338" width="47.5546875" style="64" customWidth="1"/>
    <col min="14339" max="14339" width="13.5546875" style="64" customWidth="1"/>
    <col min="14340" max="14341" width="9.33203125" style="64" bestFit="1" customWidth="1"/>
    <col min="14342" max="14342" width="10.88671875" style="64" customWidth="1"/>
    <col min="14343" max="14343" width="10" style="64" bestFit="1" customWidth="1"/>
    <col min="14344" max="14345" width="9.33203125" style="64" bestFit="1" customWidth="1"/>
    <col min="14346" max="14346" width="10.33203125" style="64" bestFit="1" customWidth="1"/>
    <col min="14347" max="14347" width="10" style="64" bestFit="1" customWidth="1"/>
    <col min="14348" max="14349" width="9.33203125" style="64" bestFit="1" customWidth="1"/>
    <col min="14350" max="14351" width="9.88671875" style="64" bestFit="1" customWidth="1"/>
    <col min="14352" max="14352" width="10.88671875" style="64" bestFit="1" customWidth="1"/>
    <col min="14353" max="14354" width="0" style="64" hidden="1" customWidth="1"/>
    <col min="14355" max="14592" width="8.88671875" style="64"/>
    <col min="14593" max="14593" width="4.6640625" style="64" customWidth="1"/>
    <col min="14594" max="14594" width="47.5546875" style="64" customWidth="1"/>
    <col min="14595" max="14595" width="13.5546875" style="64" customWidth="1"/>
    <col min="14596" max="14597" width="9.33203125" style="64" bestFit="1" customWidth="1"/>
    <col min="14598" max="14598" width="10.88671875" style="64" customWidth="1"/>
    <col min="14599" max="14599" width="10" style="64" bestFit="1" customWidth="1"/>
    <col min="14600" max="14601" width="9.33203125" style="64" bestFit="1" customWidth="1"/>
    <col min="14602" max="14602" width="10.33203125" style="64" bestFit="1" customWidth="1"/>
    <col min="14603" max="14603" width="10" style="64" bestFit="1" customWidth="1"/>
    <col min="14604" max="14605" width="9.33203125" style="64" bestFit="1" customWidth="1"/>
    <col min="14606" max="14607" width="9.88671875" style="64" bestFit="1" customWidth="1"/>
    <col min="14608" max="14608" width="10.88671875" style="64" bestFit="1" customWidth="1"/>
    <col min="14609" max="14610" width="0" style="64" hidden="1" customWidth="1"/>
    <col min="14611" max="14848" width="8.88671875" style="64"/>
    <col min="14849" max="14849" width="4.6640625" style="64" customWidth="1"/>
    <col min="14850" max="14850" width="47.5546875" style="64" customWidth="1"/>
    <col min="14851" max="14851" width="13.5546875" style="64" customWidth="1"/>
    <col min="14852" max="14853" width="9.33203125" style="64" bestFit="1" customWidth="1"/>
    <col min="14854" max="14854" width="10.88671875" style="64" customWidth="1"/>
    <col min="14855" max="14855" width="10" style="64" bestFit="1" customWidth="1"/>
    <col min="14856" max="14857" width="9.33203125" style="64" bestFit="1" customWidth="1"/>
    <col min="14858" max="14858" width="10.33203125" style="64" bestFit="1" customWidth="1"/>
    <col min="14859" max="14859" width="10" style="64" bestFit="1" customWidth="1"/>
    <col min="14860" max="14861" width="9.33203125" style="64" bestFit="1" customWidth="1"/>
    <col min="14862" max="14863" width="9.88671875" style="64" bestFit="1" customWidth="1"/>
    <col min="14864" max="14864" width="10.88671875" style="64" bestFit="1" customWidth="1"/>
    <col min="14865" max="14866" width="0" style="64" hidden="1" customWidth="1"/>
    <col min="14867" max="15104" width="8.88671875" style="64"/>
    <col min="15105" max="15105" width="4.6640625" style="64" customWidth="1"/>
    <col min="15106" max="15106" width="47.5546875" style="64" customWidth="1"/>
    <col min="15107" max="15107" width="13.5546875" style="64" customWidth="1"/>
    <col min="15108" max="15109" width="9.33203125" style="64" bestFit="1" customWidth="1"/>
    <col min="15110" max="15110" width="10.88671875" style="64" customWidth="1"/>
    <col min="15111" max="15111" width="10" style="64" bestFit="1" customWidth="1"/>
    <col min="15112" max="15113" width="9.33203125" style="64" bestFit="1" customWidth="1"/>
    <col min="15114" max="15114" width="10.33203125" style="64" bestFit="1" customWidth="1"/>
    <col min="15115" max="15115" width="10" style="64" bestFit="1" customWidth="1"/>
    <col min="15116" max="15117" width="9.33203125" style="64" bestFit="1" customWidth="1"/>
    <col min="15118" max="15119" width="9.88671875" style="64" bestFit="1" customWidth="1"/>
    <col min="15120" max="15120" width="10.88671875" style="64" bestFit="1" customWidth="1"/>
    <col min="15121" max="15122" width="0" style="64" hidden="1" customWidth="1"/>
    <col min="15123" max="15360" width="8.88671875" style="64"/>
    <col min="15361" max="15361" width="4.6640625" style="64" customWidth="1"/>
    <col min="15362" max="15362" width="47.5546875" style="64" customWidth="1"/>
    <col min="15363" max="15363" width="13.5546875" style="64" customWidth="1"/>
    <col min="15364" max="15365" width="9.33203125" style="64" bestFit="1" customWidth="1"/>
    <col min="15366" max="15366" width="10.88671875" style="64" customWidth="1"/>
    <col min="15367" max="15367" width="10" style="64" bestFit="1" customWidth="1"/>
    <col min="15368" max="15369" width="9.33203125" style="64" bestFit="1" customWidth="1"/>
    <col min="15370" max="15370" width="10.33203125" style="64" bestFit="1" customWidth="1"/>
    <col min="15371" max="15371" width="10" style="64" bestFit="1" customWidth="1"/>
    <col min="15372" max="15373" width="9.33203125" style="64" bestFit="1" customWidth="1"/>
    <col min="15374" max="15375" width="9.88671875" style="64" bestFit="1" customWidth="1"/>
    <col min="15376" max="15376" width="10.88671875" style="64" bestFit="1" customWidth="1"/>
    <col min="15377" max="15378" width="0" style="64" hidden="1" customWidth="1"/>
    <col min="15379" max="15616" width="8.88671875" style="64"/>
    <col min="15617" max="15617" width="4.6640625" style="64" customWidth="1"/>
    <col min="15618" max="15618" width="47.5546875" style="64" customWidth="1"/>
    <col min="15619" max="15619" width="13.5546875" style="64" customWidth="1"/>
    <col min="15620" max="15621" width="9.33203125" style="64" bestFit="1" customWidth="1"/>
    <col min="15622" max="15622" width="10.88671875" style="64" customWidth="1"/>
    <col min="15623" max="15623" width="10" style="64" bestFit="1" customWidth="1"/>
    <col min="15624" max="15625" width="9.33203125" style="64" bestFit="1" customWidth="1"/>
    <col min="15626" max="15626" width="10.33203125" style="64" bestFit="1" customWidth="1"/>
    <col min="15627" max="15627" width="10" style="64" bestFit="1" customWidth="1"/>
    <col min="15628" max="15629" width="9.33203125" style="64" bestFit="1" customWidth="1"/>
    <col min="15630" max="15631" width="9.88671875" style="64" bestFit="1" customWidth="1"/>
    <col min="15632" max="15632" width="10.88671875" style="64" bestFit="1" customWidth="1"/>
    <col min="15633" max="15634" width="0" style="64" hidden="1" customWidth="1"/>
    <col min="15635" max="15872" width="8.88671875" style="64"/>
    <col min="15873" max="15873" width="4.6640625" style="64" customWidth="1"/>
    <col min="15874" max="15874" width="47.5546875" style="64" customWidth="1"/>
    <col min="15875" max="15875" width="13.5546875" style="64" customWidth="1"/>
    <col min="15876" max="15877" width="9.33203125" style="64" bestFit="1" customWidth="1"/>
    <col min="15878" max="15878" width="10.88671875" style="64" customWidth="1"/>
    <col min="15879" max="15879" width="10" style="64" bestFit="1" customWidth="1"/>
    <col min="15880" max="15881" width="9.33203125" style="64" bestFit="1" customWidth="1"/>
    <col min="15882" max="15882" width="10.33203125" style="64" bestFit="1" customWidth="1"/>
    <col min="15883" max="15883" width="10" style="64" bestFit="1" customWidth="1"/>
    <col min="15884" max="15885" width="9.33203125" style="64" bestFit="1" customWidth="1"/>
    <col min="15886" max="15887" width="9.88671875" style="64" bestFit="1" customWidth="1"/>
    <col min="15888" max="15888" width="10.88671875" style="64" bestFit="1" customWidth="1"/>
    <col min="15889" max="15890" width="0" style="64" hidden="1" customWidth="1"/>
    <col min="15891" max="16128" width="8.88671875" style="64"/>
    <col min="16129" max="16129" width="4.6640625" style="64" customWidth="1"/>
    <col min="16130" max="16130" width="47.5546875" style="64" customWidth="1"/>
    <col min="16131" max="16131" width="13.5546875" style="64" customWidth="1"/>
    <col min="16132" max="16133" width="9.33203125" style="64" bestFit="1" customWidth="1"/>
    <col min="16134" max="16134" width="10.88671875" style="64" customWidth="1"/>
    <col min="16135" max="16135" width="10" style="64" bestFit="1" customWidth="1"/>
    <col min="16136" max="16137" width="9.33203125" style="64" bestFit="1" customWidth="1"/>
    <col min="16138" max="16138" width="10.33203125" style="64" bestFit="1" customWidth="1"/>
    <col min="16139" max="16139" width="10" style="64" bestFit="1" customWidth="1"/>
    <col min="16140" max="16141" width="9.33203125" style="64" bestFit="1" customWidth="1"/>
    <col min="16142" max="16143" width="9.88671875" style="64" bestFit="1" customWidth="1"/>
    <col min="16144" max="16144" width="10.88671875" style="64" bestFit="1" customWidth="1"/>
    <col min="16145" max="16146" width="0" style="64" hidden="1" customWidth="1"/>
    <col min="16147" max="16384" width="8.88671875" style="64"/>
  </cols>
  <sheetData>
    <row r="1" spans="1:15" x14ac:dyDescent="0.25">
      <c r="A1" s="63" t="s">
        <v>224</v>
      </c>
    </row>
    <row r="2" spans="1:15" x14ac:dyDescent="0.25">
      <c r="A2" s="65" t="s">
        <v>225</v>
      </c>
    </row>
    <row r="3" spans="1:15" x14ac:dyDescent="0.25">
      <c r="A3" s="63" t="s">
        <v>4</v>
      </c>
    </row>
    <row r="4" spans="1:15" x14ac:dyDescent="0.25">
      <c r="A4" s="109" t="s">
        <v>226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</row>
    <row r="6" spans="1:15" x14ac:dyDescent="0.25">
      <c r="B6" s="109" t="s">
        <v>227</v>
      </c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</row>
    <row r="7" spans="1:15" x14ac:dyDescent="0.25">
      <c r="B7" s="114" t="s">
        <v>258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</row>
    <row r="8" spans="1:15" x14ac:dyDescent="0.25">
      <c r="B8" s="109" t="s">
        <v>228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109"/>
    </row>
    <row r="10" spans="1:15" x14ac:dyDescent="0.25">
      <c r="A10" s="66" t="s">
        <v>73</v>
      </c>
      <c r="B10" s="66" t="s">
        <v>229</v>
      </c>
    </row>
    <row r="11" spans="1:15" ht="31.5" customHeight="1" x14ac:dyDescent="0.25">
      <c r="A11" s="67" t="s">
        <v>21</v>
      </c>
      <c r="B11" s="115" t="s">
        <v>230</v>
      </c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</row>
    <row r="13" spans="1:15" s="68" customFormat="1" x14ac:dyDescent="0.25">
      <c r="B13" s="111" t="s">
        <v>231</v>
      </c>
      <c r="C13" s="111" t="s">
        <v>232</v>
      </c>
      <c r="D13" s="113" t="s">
        <v>233</v>
      </c>
      <c r="E13" s="113"/>
      <c r="F13" s="113"/>
      <c r="G13" s="113"/>
      <c r="H13" s="113" t="s">
        <v>259</v>
      </c>
      <c r="I13" s="113"/>
      <c r="J13" s="113"/>
      <c r="K13" s="113"/>
      <c r="L13" s="113" t="s">
        <v>260</v>
      </c>
      <c r="M13" s="113"/>
      <c r="N13" s="113"/>
      <c r="O13" s="113"/>
    </row>
    <row r="14" spans="1:15" s="68" customFormat="1" x14ac:dyDescent="0.25">
      <c r="B14" s="112"/>
      <c r="C14" s="112"/>
      <c r="D14" s="69" t="s">
        <v>0</v>
      </c>
      <c r="E14" s="69" t="s">
        <v>16</v>
      </c>
      <c r="F14" s="69" t="s">
        <v>17</v>
      </c>
      <c r="G14" s="69" t="s">
        <v>1</v>
      </c>
      <c r="H14" s="69" t="s">
        <v>0</v>
      </c>
      <c r="I14" s="69" t="s">
        <v>16</v>
      </c>
      <c r="J14" s="69" t="s">
        <v>17</v>
      </c>
      <c r="K14" s="69" t="s">
        <v>1</v>
      </c>
      <c r="L14" s="69" t="s">
        <v>0</v>
      </c>
      <c r="M14" s="69" t="s">
        <v>16</v>
      </c>
      <c r="N14" s="69" t="s">
        <v>17</v>
      </c>
      <c r="O14" s="69" t="s">
        <v>1</v>
      </c>
    </row>
    <row r="15" spans="1:15" s="68" customFormat="1" x14ac:dyDescent="0.25">
      <c r="B15" s="105" t="s">
        <v>234</v>
      </c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7"/>
    </row>
    <row r="16" spans="1:15" s="68" customFormat="1" x14ac:dyDescent="0.25">
      <c r="B16" s="70" t="s">
        <v>235</v>
      </c>
      <c r="C16" s="71" t="s">
        <v>236</v>
      </c>
      <c r="D16" s="72">
        <v>0</v>
      </c>
      <c r="E16" s="72">
        <v>0</v>
      </c>
      <c r="F16" s="72">
        <v>0</v>
      </c>
      <c r="G16" s="72">
        <v>0</v>
      </c>
      <c r="H16" s="73">
        <v>0</v>
      </c>
      <c r="I16" s="73">
        <v>0</v>
      </c>
      <c r="J16" s="73">
        <v>0</v>
      </c>
      <c r="K16" s="73">
        <v>0</v>
      </c>
      <c r="L16" s="73">
        <v>0</v>
      </c>
      <c r="M16" s="73">
        <v>0</v>
      </c>
      <c r="N16" s="73">
        <v>0</v>
      </c>
      <c r="O16" s="73">
        <v>0</v>
      </c>
    </row>
    <row r="17" spans="1:22" s="68" customFormat="1" x14ac:dyDescent="0.25">
      <c r="B17" s="70" t="s">
        <v>237</v>
      </c>
      <c r="C17" s="71" t="s">
        <v>236</v>
      </c>
      <c r="D17" s="72">
        <v>0</v>
      </c>
      <c r="E17" s="72">
        <v>2</v>
      </c>
      <c r="F17" s="72">
        <v>0</v>
      </c>
      <c r="G17" s="72">
        <v>0</v>
      </c>
      <c r="H17" s="73">
        <v>18</v>
      </c>
      <c r="I17" s="73">
        <v>14</v>
      </c>
      <c r="J17" s="73">
        <v>83</v>
      </c>
      <c r="K17" s="73">
        <v>97</v>
      </c>
      <c r="L17" s="73">
        <v>100</v>
      </c>
      <c r="M17" s="73">
        <f t="shared" ref="M16:M18" si="0">I17/E17*100-100</f>
        <v>600</v>
      </c>
      <c r="N17" s="73">
        <v>100</v>
      </c>
      <c r="O17" s="73">
        <v>100</v>
      </c>
    </row>
    <row r="18" spans="1:22" s="68" customFormat="1" x14ac:dyDescent="0.25">
      <c r="B18" s="70" t="s">
        <v>238</v>
      </c>
      <c r="C18" s="71" t="s">
        <v>236</v>
      </c>
      <c r="D18" s="72">
        <v>0</v>
      </c>
      <c r="E18" s="72">
        <v>3</v>
      </c>
      <c r="F18" s="74">
        <v>31</v>
      </c>
      <c r="G18" s="74">
        <v>2</v>
      </c>
      <c r="H18" s="73"/>
      <c r="I18" s="73"/>
      <c r="J18" s="75"/>
      <c r="K18" s="75"/>
      <c r="L18" s="73"/>
      <c r="M18" s="73"/>
      <c r="N18" s="73"/>
      <c r="O18" s="73"/>
      <c r="Q18" s="76">
        <f>J18+K18</f>
        <v>0</v>
      </c>
      <c r="R18" s="68">
        <v>10</v>
      </c>
    </row>
    <row r="19" spans="1:22" s="68" customFormat="1" x14ac:dyDescent="0.25">
      <c r="B19" s="105" t="s">
        <v>239</v>
      </c>
      <c r="C19" s="106"/>
      <c r="D19" s="106"/>
      <c r="E19" s="106"/>
      <c r="F19" s="106"/>
      <c r="G19" s="106"/>
      <c r="H19" s="106"/>
      <c r="I19" s="106"/>
      <c r="J19" s="106"/>
      <c r="K19" s="106"/>
      <c r="L19" s="106"/>
      <c r="M19" s="106"/>
      <c r="N19" s="106"/>
      <c r="O19" s="107"/>
    </row>
    <row r="20" spans="1:22" s="68" customFormat="1" x14ac:dyDescent="0.25">
      <c r="B20" s="70" t="s">
        <v>235</v>
      </c>
      <c r="C20" s="71" t="s">
        <v>236</v>
      </c>
      <c r="D20" s="72">
        <v>0</v>
      </c>
      <c r="E20" s="72">
        <v>0</v>
      </c>
      <c r="F20" s="72">
        <v>0</v>
      </c>
      <c r="G20" s="72">
        <v>0</v>
      </c>
      <c r="H20" s="73">
        <v>0</v>
      </c>
      <c r="I20" s="73">
        <v>0</v>
      </c>
      <c r="J20" s="73">
        <v>0</v>
      </c>
      <c r="K20" s="73">
        <v>0</v>
      </c>
      <c r="L20" s="73">
        <v>0</v>
      </c>
      <c r="M20" s="73">
        <v>0</v>
      </c>
      <c r="N20" s="73">
        <v>0</v>
      </c>
      <c r="O20" s="73">
        <v>0</v>
      </c>
    </row>
    <row r="21" spans="1:22" s="68" customFormat="1" x14ac:dyDescent="0.25">
      <c r="B21" s="70" t="s">
        <v>237</v>
      </c>
      <c r="C21" s="71" t="s">
        <v>236</v>
      </c>
      <c r="D21" s="72">
        <v>0</v>
      </c>
      <c r="E21" s="72">
        <v>0</v>
      </c>
      <c r="F21" s="72">
        <v>0</v>
      </c>
      <c r="G21" s="72">
        <v>0</v>
      </c>
      <c r="H21" s="73">
        <v>0</v>
      </c>
      <c r="I21" s="73">
        <v>0</v>
      </c>
      <c r="J21" s="73">
        <v>0</v>
      </c>
      <c r="K21" s="73">
        <v>0</v>
      </c>
      <c r="L21" s="73">
        <v>0</v>
      </c>
      <c r="M21" s="73">
        <v>0</v>
      </c>
      <c r="N21" s="73">
        <v>0</v>
      </c>
      <c r="O21" s="73">
        <v>0</v>
      </c>
    </row>
    <row r="22" spans="1:22" s="68" customFormat="1" x14ac:dyDescent="0.25">
      <c r="B22" s="70" t="s">
        <v>238</v>
      </c>
      <c r="C22" s="71" t="s">
        <v>236</v>
      </c>
      <c r="D22" s="72">
        <v>0</v>
      </c>
      <c r="E22" s="72">
        <v>0</v>
      </c>
      <c r="F22" s="74">
        <v>3</v>
      </c>
      <c r="G22" s="74">
        <v>0</v>
      </c>
      <c r="H22" s="73">
        <v>0</v>
      </c>
      <c r="I22" s="73">
        <v>0</v>
      </c>
      <c r="J22" s="158" t="s">
        <v>5</v>
      </c>
      <c r="K22" s="73">
        <v>0</v>
      </c>
      <c r="L22" s="73">
        <v>0</v>
      </c>
      <c r="M22" s="73">
        <v>0</v>
      </c>
      <c r="N22" s="73">
        <v>100</v>
      </c>
      <c r="O22" s="73">
        <v>0</v>
      </c>
      <c r="Q22" s="76" t="e">
        <f>J22+K22</f>
        <v>#VALUE!</v>
      </c>
    </row>
    <row r="23" spans="1:22" s="68" customFormat="1" x14ac:dyDescent="0.25">
      <c r="B23" s="77"/>
      <c r="C23" s="78"/>
      <c r="D23" s="79"/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Q23" s="76" t="e">
        <f>SUM(Q18:Q22)</f>
        <v>#VALUE!</v>
      </c>
    </row>
    <row r="24" spans="1:22" s="68" customFormat="1" ht="47.25" customHeight="1" x14ac:dyDescent="0.25">
      <c r="A24" s="80" t="s">
        <v>23</v>
      </c>
      <c r="B24" s="110" t="s">
        <v>240</v>
      </c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Q24" s="81"/>
      <c r="R24" s="81"/>
      <c r="S24" s="81"/>
      <c r="T24" s="81"/>
      <c r="U24" s="81"/>
      <c r="V24" s="81"/>
    </row>
    <row r="25" spans="1:22" s="68" customFormat="1" x14ac:dyDescent="0.25"/>
    <row r="26" spans="1:22" s="68" customFormat="1" x14ac:dyDescent="0.25">
      <c r="B26" s="111" t="s">
        <v>6</v>
      </c>
      <c r="C26" s="111" t="s">
        <v>232</v>
      </c>
      <c r="D26" s="113" t="s">
        <v>233</v>
      </c>
      <c r="E26" s="113"/>
      <c r="F26" s="113"/>
      <c r="G26" s="113"/>
      <c r="H26" s="113" t="s">
        <v>259</v>
      </c>
      <c r="I26" s="113"/>
      <c r="J26" s="113"/>
      <c r="K26" s="113"/>
      <c r="L26" s="113" t="s">
        <v>260</v>
      </c>
      <c r="M26" s="113"/>
      <c r="N26" s="113"/>
      <c r="O26" s="113"/>
    </row>
    <row r="27" spans="1:22" s="68" customFormat="1" x14ac:dyDescent="0.25">
      <c r="B27" s="112"/>
      <c r="C27" s="112"/>
      <c r="D27" s="69" t="s">
        <v>0</v>
      </c>
      <c r="E27" s="69" t="s">
        <v>16</v>
      </c>
      <c r="F27" s="69" t="s">
        <v>17</v>
      </c>
      <c r="G27" s="69" t="s">
        <v>1</v>
      </c>
      <c r="H27" s="69" t="s">
        <v>0</v>
      </c>
      <c r="I27" s="69" t="s">
        <v>16</v>
      </c>
      <c r="J27" s="69" t="s">
        <v>17</v>
      </c>
      <c r="K27" s="69" t="s">
        <v>1</v>
      </c>
      <c r="L27" s="69" t="s">
        <v>0</v>
      </c>
      <c r="M27" s="69" t="s">
        <v>16</v>
      </c>
      <c r="N27" s="69" t="s">
        <v>17</v>
      </c>
      <c r="O27" s="69" t="s">
        <v>1</v>
      </c>
    </row>
    <row r="28" spans="1:22" s="68" customFormat="1" x14ac:dyDescent="0.25">
      <c r="B28" s="105" t="s">
        <v>2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7"/>
    </row>
    <row r="29" spans="1:22" s="68" customFormat="1" x14ac:dyDescent="0.25">
      <c r="B29" s="82" t="s">
        <v>241</v>
      </c>
      <c r="C29" s="83" t="s">
        <v>236</v>
      </c>
      <c r="D29" s="72">
        <v>0</v>
      </c>
      <c r="E29" s="74">
        <v>5</v>
      </c>
      <c r="F29" s="74">
        <v>31</v>
      </c>
      <c r="G29" s="74">
        <v>2</v>
      </c>
      <c r="H29" s="75">
        <v>18</v>
      </c>
      <c r="I29" s="75">
        <v>14</v>
      </c>
      <c r="J29" s="75">
        <v>83</v>
      </c>
      <c r="K29" s="75">
        <v>97</v>
      </c>
      <c r="L29" s="73">
        <v>100</v>
      </c>
      <c r="M29" s="73">
        <f t="shared" ref="M29:M30" si="1">I29/E29*100-100</f>
        <v>180</v>
      </c>
      <c r="N29" s="73">
        <f t="shared" ref="N29:N30" si="2">J29/F29*100-100</f>
        <v>167.74193548387098</v>
      </c>
      <c r="O29" s="73">
        <f t="shared" ref="O29:O30" si="3">K29/G29*100-100</f>
        <v>4750</v>
      </c>
    </row>
    <row r="30" spans="1:22" s="68" customFormat="1" x14ac:dyDescent="0.25">
      <c r="B30" s="82" t="s">
        <v>242</v>
      </c>
      <c r="C30" s="83" t="s">
        <v>236</v>
      </c>
      <c r="D30" s="72">
        <v>0</v>
      </c>
      <c r="E30" s="74">
        <v>5</v>
      </c>
      <c r="F30" s="74">
        <v>31</v>
      </c>
      <c r="G30" s="74">
        <v>2</v>
      </c>
      <c r="H30" s="75">
        <f>H29</f>
        <v>18</v>
      </c>
      <c r="I30" s="75">
        <f t="shared" ref="I30:K30" si="4">I29</f>
        <v>14</v>
      </c>
      <c r="J30" s="75">
        <f t="shared" si="4"/>
        <v>83</v>
      </c>
      <c r="K30" s="75">
        <f t="shared" si="4"/>
        <v>97</v>
      </c>
      <c r="L30" s="73">
        <v>100</v>
      </c>
      <c r="M30" s="73">
        <f t="shared" si="1"/>
        <v>180</v>
      </c>
      <c r="N30" s="73">
        <f t="shared" si="2"/>
        <v>167.74193548387098</v>
      </c>
      <c r="O30" s="73">
        <f t="shared" si="3"/>
        <v>4750</v>
      </c>
      <c r="Q30" s="76">
        <f>J30+K30</f>
        <v>180</v>
      </c>
    </row>
    <row r="31" spans="1:22" s="68" customFormat="1" x14ac:dyDescent="0.25">
      <c r="B31" s="105" t="s">
        <v>3</v>
      </c>
      <c r="C31" s="106"/>
      <c r="D31" s="106"/>
      <c r="E31" s="106"/>
      <c r="F31" s="106"/>
      <c r="G31" s="106"/>
      <c r="H31" s="106"/>
      <c r="I31" s="106"/>
      <c r="J31" s="106"/>
      <c r="K31" s="106"/>
      <c r="L31" s="106"/>
      <c r="M31" s="106"/>
      <c r="N31" s="106"/>
      <c r="O31" s="107"/>
    </row>
    <row r="32" spans="1:22" s="68" customFormat="1" x14ac:dyDescent="0.25">
      <c r="B32" s="82" t="s">
        <v>241</v>
      </c>
      <c r="C32" s="83" t="s">
        <v>236</v>
      </c>
      <c r="D32" s="72">
        <v>0</v>
      </c>
      <c r="E32" s="72">
        <v>0</v>
      </c>
      <c r="F32" s="74">
        <v>3</v>
      </c>
      <c r="G32" s="72">
        <v>0</v>
      </c>
      <c r="H32" s="73">
        <v>0</v>
      </c>
      <c r="I32" s="73">
        <v>0</v>
      </c>
      <c r="J32" s="73">
        <v>0</v>
      </c>
      <c r="K32" s="75">
        <v>0</v>
      </c>
      <c r="L32" s="104" t="s">
        <v>5</v>
      </c>
      <c r="M32" s="104" t="s">
        <v>5</v>
      </c>
      <c r="N32" s="73">
        <f t="shared" ref="N32:N33" si="5">J32/F32*100-100</f>
        <v>-100</v>
      </c>
      <c r="O32" s="104" t="s">
        <v>5</v>
      </c>
    </row>
    <row r="33" spans="1:18" s="68" customFormat="1" x14ac:dyDescent="0.25">
      <c r="B33" s="82" t="s">
        <v>242</v>
      </c>
      <c r="C33" s="83" t="s">
        <v>236</v>
      </c>
      <c r="D33" s="72">
        <v>0</v>
      </c>
      <c r="E33" s="72">
        <v>0</v>
      </c>
      <c r="F33" s="74">
        <v>3</v>
      </c>
      <c r="G33" s="72">
        <v>0</v>
      </c>
      <c r="H33" s="73">
        <v>0</v>
      </c>
      <c r="I33" s="73">
        <v>0</v>
      </c>
      <c r="J33" s="73">
        <v>0</v>
      </c>
      <c r="K33" s="75">
        <v>0</v>
      </c>
      <c r="L33" s="104" t="s">
        <v>5</v>
      </c>
      <c r="M33" s="104" t="s">
        <v>5</v>
      </c>
      <c r="N33" s="73">
        <f t="shared" si="5"/>
        <v>-100</v>
      </c>
      <c r="O33" s="104" t="s">
        <v>5</v>
      </c>
      <c r="Q33" s="76">
        <f>J33+K33</f>
        <v>0</v>
      </c>
    </row>
    <row r="34" spans="1:18" s="84" customFormat="1" x14ac:dyDescent="0.25">
      <c r="Q34" s="85">
        <f>SUM(Q30:Q33)</f>
        <v>180</v>
      </c>
    </row>
    <row r="35" spans="1:18" s="68" customFormat="1" ht="31.5" customHeight="1" x14ac:dyDescent="0.25">
      <c r="A35" s="80" t="s">
        <v>25</v>
      </c>
      <c r="B35" s="110" t="s">
        <v>243</v>
      </c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R35" s="81"/>
    </row>
    <row r="36" spans="1:18" s="84" customFormat="1" x14ac:dyDescent="0.25"/>
    <row r="37" spans="1:18" s="68" customFormat="1" ht="14.4" customHeight="1" x14ac:dyDescent="0.25">
      <c r="B37" s="111" t="s">
        <v>6</v>
      </c>
      <c r="C37" s="111" t="s">
        <v>232</v>
      </c>
      <c r="D37" s="113" t="s">
        <v>233</v>
      </c>
      <c r="E37" s="113"/>
      <c r="F37" s="113"/>
      <c r="G37" s="113"/>
      <c r="H37" s="113" t="s">
        <v>261</v>
      </c>
      <c r="I37" s="113"/>
      <c r="J37" s="113"/>
      <c r="K37" s="113"/>
      <c r="L37" s="113" t="s">
        <v>260</v>
      </c>
      <c r="M37" s="113"/>
      <c r="N37" s="113"/>
      <c r="O37" s="113"/>
    </row>
    <row r="38" spans="1:18" s="68" customFormat="1" x14ac:dyDescent="0.25">
      <c r="B38" s="112"/>
      <c r="C38" s="112"/>
      <c r="D38" s="69" t="s">
        <v>0</v>
      </c>
      <c r="E38" s="69" t="s">
        <v>16</v>
      </c>
      <c r="F38" s="69" t="s">
        <v>17</v>
      </c>
      <c r="G38" s="69" t="s">
        <v>1</v>
      </c>
      <c r="H38" s="69" t="s">
        <v>0</v>
      </c>
      <c r="I38" s="69" t="s">
        <v>16</v>
      </c>
      <c r="J38" s="69" t="s">
        <v>17</v>
      </c>
      <c r="K38" s="69" t="s">
        <v>1</v>
      </c>
      <c r="L38" s="69" t="s">
        <v>0</v>
      </c>
      <c r="M38" s="69" t="s">
        <v>16</v>
      </c>
      <c r="N38" s="69" t="s">
        <v>17</v>
      </c>
      <c r="O38" s="69" t="s">
        <v>1</v>
      </c>
    </row>
    <row r="39" spans="1:18" s="68" customFormat="1" x14ac:dyDescent="0.25">
      <c r="B39" s="105" t="s">
        <v>244</v>
      </c>
      <c r="C39" s="106"/>
      <c r="D39" s="106"/>
      <c r="E39" s="106"/>
      <c r="F39" s="106"/>
      <c r="G39" s="106"/>
      <c r="H39" s="106"/>
      <c r="I39" s="106"/>
      <c r="J39" s="106"/>
      <c r="K39" s="106"/>
      <c r="L39" s="106"/>
      <c r="M39" s="106"/>
      <c r="N39" s="106"/>
      <c r="O39" s="107"/>
    </row>
    <row r="40" spans="1:18" s="68" customFormat="1" x14ac:dyDescent="0.25">
      <c r="B40" s="82" t="s">
        <v>245</v>
      </c>
      <c r="C40" s="83" t="s">
        <v>246</v>
      </c>
      <c r="D40" s="72">
        <v>0</v>
      </c>
      <c r="E40" s="73">
        <v>4.22</v>
      </c>
      <c r="F40" s="87">
        <v>17.452999999999999</v>
      </c>
      <c r="G40" s="86">
        <v>0.22</v>
      </c>
      <c r="H40" s="73">
        <v>0</v>
      </c>
      <c r="I40" s="73">
        <v>4.22</v>
      </c>
      <c r="J40" s="87">
        <v>43.222000000000001</v>
      </c>
      <c r="K40" s="87">
        <v>0.37</v>
      </c>
      <c r="L40" s="101">
        <v>0</v>
      </c>
      <c r="M40" s="101">
        <v>0</v>
      </c>
      <c r="N40" s="101">
        <f>J40/F40*100-100</f>
        <v>147.64796883057355</v>
      </c>
      <c r="O40" s="101">
        <f>K40/G40*100-100</f>
        <v>68.181818181818187</v>
      </c>
      <c r="Q40" s="88">
        <f>J40+K40</f>
        <v>43.591999999999999</v>
      </c>
    </row>
    <row r="41" spans="1:18" s="68" customFormat="1" x14ac:dyDescent="0.25">
      <c r="B41" s="82" t="s">
        <v>247</v>
      </c>
      <c r="C41" s="83" t="s">
        <v>246</v>
      </c>
      <c r="D41" s="72">
        <v>0</v>
      </c>
      <c r="E41" s="73">
        <v>8</v>
      </c>
      <c r="F41" s="87">
        <v>6.6619999999999999</v>
      </c>
      <c r="G41" s="89">
        <v>0</v>
      </c>
      <c r="H41" s="73">
        <v>4.4999999999999998E-2</v>
      </c>
      <c r="I41" s="73">
        <v>8</v>
      </c>
      <c r="J41" s="87">
        <v>14.047999999999981</v>
      </c>
      <c r="K41" s="98">
        <v>0</v>
      </c>
      <c r="L41" s="101">
        <v>100</v>
      </c>
      <c r="M41" s="101">
        <v>0</v>
      </c>
      <c r="N41" s="101">
        <f>J41/F41*100-100</f>
        <v>110.8676073251273</v>
      </c>
      <c r="O41" s="101">
        <v>0</v>
      </c>
      <c r="P41" s="88"/>
      <c r="Q41" s="88">
        <f>J41+K41</f>
        <v>14.047999999999981</v>
      </c>
    </row>
    <row r="42" spans="1:18" s="68" customFormat="1" x14ac:dyDescent="0.25">
      <c r="B42" s="105" t="s">
        <v>248</v>
      </c>
      <c r="C42" s="106"/>
      <c r="D42" s="106"/>
      <c r="E42" s="106"/>
      <c r="F42" s="106"/>
      <c r="G42" s="106"/>
      <c r="H42" s="106"/>
      <c r="I42" s="106"/>
      <c r="J42" s="106"/>
      <c r="K42" s="106"/>
      <c r="L42" s="106"/>
      <c r="M42" s="106"/>
      <c r="N42" s="106"/>
      <c r="O42" s="107"/>
      <c r="Q42" s="88">
        <f>SUM(Q40:Q41)</f>
        <v>57.639999999999979</v>
      </c>
    </row>
    <row r="43" spans="1:18" s="68" customFormat="1" x14ac:dyDescent="0.25">
      <c r="B43" s="82" t="s">
        <v>249</v>
      </c>
      <c r="C43" s="83" t="s">
        <v>236</v>
      </c>
      <c r="D43" s="72">
        <v>0</v>
      </c>
      <c r="E43" s="72">
        <v>1</v>
      </c>
      <c r="F43" s="72">
        <v>27</v>
      </c>
      <c r="G43" s="90" t="s">
        <v>250</v>
      </c>
      <c r="H43" s="75">
        <v>1</v>
      </c>
      <c r="I43" s="75">
        <v>2</v>
      </c>
      <c r="J43" s="91">
        <v>71</v>
      </c>
      <c r="K43" s="91" t="s">
        <v>250</v>
      </c>
      <c r="L43" s="100">
        <v>100</v>
      </c>
      <c r="M43" s="100">
        <v>0</v>
      </c>
      <c r="N43" s="100">
        <f>J43/F43*100-100</f>
        <v>162.96296296296299</v>
      </c>
      <c r="O43" s="91" t="s">
        <v>250</v>
      </c>
      <c r="P43" s="102"/>
    </row>
    <row r="44" spans="1:18" s="84" customFormat="1" x14ac:dyDescent="0.25">
      <c r="B44" s="68" t="s">
        <v>251</v>
      </c>
      <c r="H44" s="99"/>
      <c r="I44" s="99"/>
    </row>
    <row r="45" spans="1:18" s="68" customFormat="1" ht="34.5" customHeight="1" x14ac:dyDescent="0.25">
      <c r="A45" s="80" t="s">
        <v>27</v>
      </c>
      <c r="B45" s="110" t="s">
        <v>252</v>
      </c>
      <c r="C45" s="110"/>
      <c r="D45" s="110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</row>
    <row r="46" spans="1:18" s="68" customFormat="1" x14ac:dyDescent="0.25"/>
    <row r="47" spans="1:18" s="68" customFormat="1" x14ac:dyDescent="0.25">
      <c r="B47" s="111" t="s">
        <v>6</v>
      </c>
      <c r="C47" s="111" t="s">
        <v>232</v>
      </c>
      <c r="D47" s="113" t="s">
        <v>233</v>
      </c>
      <c r="E47" s="113"/>
      <c r="F47" s="113"/>
      <c r="G47" s="113"/>
      <c r="H47" s="113" t="s">
        <v>265</v>
      </c>
      <c r="I47" s="113"/>
      <c r="J47" s="113"/>
      <c r="K47" s="113"/>
      <c r="L47" s="113" t="s">
        <v>260</v>
      </c>
      <c r="M47" s="113"/>
      <c r="N47" s="113"/>
      <c r="O47" s="113"/>
    </row>
    <row r="48" spans="1:18" s="68" customFormat="1" x14ac:dyDescent="0.25">
      <c r="B48" s="112"/>
      <c r="C48" s="112"/>
      <c r="D48" s="69" t="s">
        <v>0</v>
      </c>
      <c r="E48" s="69" t="s">
        <v>16</v>
      </c>
      <c r="F48" s="69" t="s">
        <v>17</v>
      </c>
      <c r="G48" s="69" t="s">
        <v>1</v>
      </c>
      <c r="H48" s="69" t="s">
        <v>0</v>
      </c>
      <c r="I48" s="69" t="s">
        <v>16</v>
      </c>
      <c r="J48" s="69" t="s">
        <v>17</v>
      </c>
      <c r="K48" s="69" t="s">
        <v>1</v>
      </c>
      <c r="L48" s="69" t="s">
        <v>0</v>
      </c>
      <c r="M48" s="69" t="s">
        <v>16</v>
      </c>
      <c r="N48" s="69" t="s">
        <v>17</v>
      </c>
      <c r="O48" s="69" t="s">
        <v>1</v>
      </c>
    </row>
    <row r="49" spans="2:15" s="68" customFormat="1" x14ac:dyDescent="0.25">
      <c r="B49" s="105" t="s">
        <v>253</v>
      </c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</row>
    <row r="50" spans="2:15" s="68" customFormat="1" x14ac:dyDescent="0.25">
      <c r="B50" s="82" t="s">
        <v>245</v>
      </c>
      <c r="C50" s="83" t="s">
        <v>254</v>
      </c>
      <c r="D50" s="72"/>
      <c r="E50" s="72">
        <v>97</v>
      </c>
      <c r="F50" s="74">
        <v>97</v>
      </c>
      <c r="G50" s="74">
        <v>97</v>
      </c>
      <c r="H50" s="73"/>
      <c r="I50" s="75">
        <v>80</v>
      </c>
      <c r="J50" s="75">
        <v>80</v>
      </c>
      <c r="K50" s="75">
        <v>80</v>
      </c>
      <c r="L50" s="73">
        <v>0</v>
      </c>
      <c r="M50" s="73">
        <v>0</v>
      </c>
      <c r="N50" s="73">
        <f>J50/F50*100-100</f>
        <v>-17.525773195876297</v>
      </c>
      <c r="O50" s="101">
        <f>K50/G50*100-100</f>
        <v>-17.525773195876297</v>
      </c>
    </row>
    <row r="51" spans="2:15" s="68" customFormat="1" x14ac:dyDescent="0.25">
      <c r="B51" s="82" t="s">
        <v>247</v>
      </c>
      <c r="C51" s="83" t="s">
        <v>254</v>
      </c>
      <c r="D51" s="72"/>
      <c r="E51" s="72">
        <v>70</v>
      </c>
      <c r="F51" s="74">
        <v>97</v>
      </c>
      <c r="G51" s="74"/>
      <c r="H51" s="73">
        <v>30</v>
      </c>
      <c r="I51" s="75">
        <v>70</v>
      </c>
      <c r="J51" s="159">
        <v>75</v>
      </c>
      <c r="K51" s="157"/>
      <c r="L51" s="73">
        <v>100</v>
      </c>
      <c r="M51" s="73">
        <v>0</v>
      </c>
      <c r="N51" s="101">
        <f>J51/F51*100-100</f>
        <v>-22.680412371134011</v>
      </c>
      <c r="O51" s="101">
        <v>0</v>
      </c>
    </row>
    <row r="52" spans="2:15" s="68" customFormat="1" x14ac:dyDescent="0.25">
      <c r="B52" s="105" t="s">
        <v>255</v>
      </c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7"/>
    </row>
    <row r="53" spans="2:15" s="68" customFormat="1" x14ac:dyDescent="0.25">
      <c r="B53" s="82" t="s">
        <v>256</v>
      </c>
      <c r="C53" s="83" t="s">
        <v>254</v>
      </c>
      <c r="D53" s="72"/>
      <c r="E53" s="72">
        <v>97</v>
      </c>
      <c r="F53" s="72">
        <v>97</v>
      </c>
      <c r="G53" s="90" t="s">
        <v>250</v>
      </c>
      <c r="H53" s="73">
        <v>30</v>
      </c>
      <c r="I53" s="75">
        <v>70</v>
      </c>
      <c r="J53" s="75">
        <v>70</v>
      </c>
      <c r="K53" s="91" t="s">
        <v>250</v>
      </c>
      <c r="L53" s="73">
        <v>100</v>
      </c>
      <c r="M53" s="73">
        <v>0</v>
      </c>
      <c r="N53" s="101">
        <f>J53/F53*100-100</f>
        <v>-27.835051546391753</v>
      </c>
      <c r="O53" s="91" t="s">
        <v>250</v>
      </c>
    </row>
    <row r="54" spans="2:15" x14ac:dyDescent="0.25">
      <c r="B54" s="64" t="s">
        <v>264</v>
      </c>
    </row>
    <row r="55" spans="2:15" x14ac:dyDescent="0.25">
      <c r="B55" s="92"/>
      <c r="I55" s="93"/>
      <c r="J55" s="93"/>
      <c r="K55" s="93"/>
    </row>
    <row r="56" spans="2:15" x14ac:dyDescent="0.25">
      <c r="I56" s="94"/>
      <c r="J56" s="94"/>
      <c r="K56" s="94"/>
    </row>
    <row r="57" spans="2:15" ht="27.75" customHeight="1" x14ac:dyDescent="0.25">
      <c r="B57" s="108" t="s">
        <v>257</v>
      </c>
      <c r="C57" s="108"/>
      <c r="D57" s="108"/>
      <c r="E57" s="108"/>
      <c r="F57" s="108"/>
      <c r="G57" s="108"/>
      <c r="H57" s="108"/>
      <c r="I57" s="108"/>
      <c r="J57" s="108"/>
      <c r="K57" s="108"/>
      <c r="L57" s="108"/>
      <c r="M57" s="108"/>
      <c r="N57" s="108"/>
      <c r="O57" s="108"/>
    </row>
    <row r="58" spans="2:15" x14ac:dyDescent="0.25">
      <c r="B58" s="95"/>
    </row>
    <row r="59" spans="2:15" x14ac:dyDescent="0.25">
      <c r="F59" s="96"/>
    </row>
    <row r="60" spans="2:15" x14ac:dyDescent="0.25">
      <c r="B60" s="97"/>
    </row>
    <row r="61" spans="2:15" x14ac:dyDescent="0.25">
      <c r="B61" s="95"/>
    </row>
  </sheetData>
  <mergeCells count="37">
    <mergeCell ref="B6:O6"/>
    <mergeCell ref="B7:O7"/>
    <mergeCell ref="B8:O8"/>
    <mergeCell ref="B11:O11"/>
    <mergeCell ref="B13:B14"/>
    <mergeCell ref="C13:C14"/>
    <mergeCell ref="D13:G13"/>
    <mergeCell ref="H13:K13"/>
    <mergeCell ref="L13:O13"/>
    <mergeCell ref="C37:C38"/>
    <mergeCell ref="D37:G37"/>
    <mergeCell ref="H37:K37"/>
    <mergeCell ref="L37:O37"/>
    <mergeCell ref="B15:O15"/>
    <mergeCell ref="B19:O19"/>
    <mergeCell ref="B24:O24"/>
    <mergeCell ref="B26:B27"/>
    <mergeCell ref="C26:C27"/>
    <mergeCell ref="D26:G26"/>
    <mergeCell ref="H26:K26"/>
    <mergeCell ref="L26:O26"/>
    <mergeCell ref="B49:O49"/>
    <mergeCell ref="B52:O52"/>
    <mergeCell ref="B57:O57"/>
    <mergeCell ref="A4:O4"/>
    <mergeCell ref="B39:O39"/>
    <mergeCell ref="B42:O42"/>
    <mergeCell ref="B45:O45"/>
    <mergeCell ref="B47:B48"/>
    <mergeCell ref="C47:C48"/>
    <mergeCell ref="D47:G47"/>
    <mergeCell ref="H47:K47"/>
    <mergeCell ref="L47:O47"/>
    <mergeCell ref="B28:O28"/>
    <mergeCell ref="B31:O31"/>
    <mergeCell ref="B35:O35"/>
    <mergeCell ref="B37:B38"/>
  </mergeCells>
  <hyperlinks>
    <hyperlink ref="B57" location="Par215" tooltip="л) о качестве обслуживания потребителей услуг сетевой организации - по форме, утверждаемой уполномоченным Правительством Российской Федерации федеральным органом исполнительной власти;" display="Par215"/>
  </hyperlinks>
  <pageMargins left="0.9055118110236221" right="0.31496062992125984" top="0.35433070866141736" bottom="0.74803149606299213" header="0" footer="0.11811023622047245"/>
  <pageSetup paperSize="9" scale="5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S18"/>
  <sheetViews>
    <sheetView view="pageBreakPreview" topLeftCell="A11" zoomScale="96" zoomScaleNormal="80" zoomScaleSheetLayoutView="96" workbookViewId="0">
      <selection activeCell="E16" sqref="E16"/>
    </sheetView>
  </sheetViews>
  <sheetFormatPr defaultRowHeight="13.2" x14ac:dyDescent="0.25"/>
  <cols>
    <col min="1" max="1" width="5.33203125" customWidth="1"/>
    <col min="2" max="2" width="38.88671875" customWidth="1"/>
    <col min="5" max="5" width="10.5546875" customWidth="1"/>
    <col min="8" max="8" width="10.33203125" customWidth="1"/>
    <col min="11" max="11" width="10.33203125" customWidth="1"/>
    <col min="14" max="14" width="10" customWidth="1"/>
    <col min="17" max="17" width="10.109375" customWidth="1"/>
  </cols>
  <sheetData>
    <row r="2" spans="1:19" x14ac:dyDescent="0.25">
      <c r="B2" s="137" t="s">
        <v>93</v>
      </c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</row>
    <row r="3" spans="1:19" ht="13.2" customHeight="1" x14ac:dyDescent="0.25">
      <c r="B3" s="137" t="s">
        <v>214</v>
      </c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7"/>
      <c r="R3" s="137"/>
    </row>
    <row r="4" spans="1:19" x14ac:dyDescent="0.25">
      <c r="A4" s="117" t="s">
        <v>50</v>
      </c>
      <c r="B4" s="117" t="s">
        <v>6</v>
      </c>
      <c r="C4" s="138" t="s">
        <v>65</v>
      </c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17" t="s">
        <v>66</v>
      </c>
    </row>
    <row r="5" spans="1:19" x14ac:dyDescent="0.25">
      <c r="A5" s="117"/>
      <c r="B5" s="117"/>
      <c r="C5" s="138" t="s">
        <v>67</v>
      </c>
      <c r="D5" s="138"/>
      <c r="E5" s="138"/>
      <c r="F5" s="138" t="s">
        <v>68</v>
      </c>
      <c r="G5" s="138"/>
      <c r="H5" s="138"/>
      <c r="I5" s="138" t="s">
        <v>69</v>
      </c>
      <c r="J5" s="138"/>
      <c r="K5" s="138"/>
      <c r="L5" s="138" t="s">
        <v>70</v>
      </c>
      <c r="M5" s="138"/>
      <c r="N5" s="138"/>
      <c r="O5" s="138" t="s">
        <v>71</v>
      </c>
      <c r="P5" s="138"/>
      <c r="Q5" s="138"/>
      <c r="R5" s="117"/>
    </row>
    <row r="6" spans="1:19" ht="52.8" x14ac:dyDescent="0.25">
      <c r="A6" s="117"/>
      <c r="B6" s="117"/>
      <c r="C6" s="32">
        <v>2022</v>
      </c>
      <c r="D6" s="32">
        <v>2023</v>
      </c>
      <c r="E6" s="33" t="s">
        <v>72</v>
      </c>
      <c r="F6" s="32">
        <v>2022</v>
      </c>
      <c r="G6" s="32">
        <v>2023</v>
      </c>
      <c r="H6" s="33" t="s">
        <v>72</v>
      </c>
      <c r="I6" s="32">
        <v>2022</v>
      </c>
      <c r="J6" s="32">
        <v>2023</v>
      </c>
      <c r="K6" s="33" t="s">
        <v>72</v>
      </c>
      <c r="L6" s="32">
        <v>2022</v>
      </c>
      <c r="M6" s="32">
        <v>2023</v>
      </c>
      <c r="N6" s="33" t="s">
        <v>72</v>
      </c>
      <c r="O6" s="32">
        <v>2022</v>
      </c>
      <c r="P6" s="32">
        <v>2023</v>
      </c>
      <c r="Q6" s="33" t="s">
        <v>72</v>
      </c>
      <c r="R6" s="30"/>
    </row>
    <row r="7" spans="1:19" ht="33" customHeight="1" x14ac:dyDescent="0.25">
      <c r="A7" s="34" t="s">
        <v>73</v>
      </c>
      <c r="B7" s="31" t="s">
        <v>74</v>
      </c>
      <c r="C7" s="46">
        <v>0</v>
      </c>
      <c r="D7" s="46">
        <v>9</v>
      </c>
      <c r="E7" s="192">
        <v>100</v>
      </c>
      <c r="F7" s="46">
        <v>0</v>
      </c>
      <c r="G7" s="46">
        <v>1</v>
      </c>
      <c r="H7" s="192">
        <v>100</v>
      </c>
      <c r="I7" s="46"/>
      <c r="J7" s="46"/>
      <c r="K7" s="192"/>
      <c r="L7" s="46"/>
      <c r="M7" s="46"/>
      <c r="N7" s="46"/>
      <c r="O7" s="46"/>
      <c r="P7" s="46"/>
      <c r="Q7" s="46"/>
      <c r="R7" s="46"/>
      <c r="S7" s="58"/>
    </row>
    <row r="8" spans="1:19" ht="55.5" customHeight="1" x14ac:dyDescent="0.25">
      <c r="A8" s="34" t="s">
        <v>75</v>
      </c>
      <c r="B8" s="31" t="s">
        <v>76</v>
      </c>
      <c r="C8" s="46">
        <v>0</v>
      </c>
      <c r="D8" s="46">
        <v>9</v>
      </c>
      <c r="E8" s="192">
        <v>100</v>
      </c>
      <c r="F8" s="46">
        <v>0</v>
      </c>
      <c r="G8" s="46">
        <v>1</v>
      </c>
      <c r="H8" s="192">
        <v>100</v>
      </c>
      <c r="I8" s="46"/>
      <c r="J8" s="46"/>
      <c r="K8" s="192"/>
      <c r="L8" s="46"/>
      <c r="M8" s="46"/>
      <c r="N8" s="46"/>
      <c r="O8" s="46"/>
      <c r="P8" s="46"/>
      <c r="Q8" s="46"/>
      <c r="R8" s="46"/>
      <c r="S8" s="58"/>
    </row>
    <row r="9" spans="1:19" ht="90" customHeight="1" x14ac:dyDescent="0.25">
      <c r="A9" s="34" t="s">
        <v>77</v>
      </c>
      <c r="B9" s="31" t="s">
        <v>78</v>
      </c>
      <c r="C9" s="46">
        <v>0</v>
      </c>
      <c r="D9" s="46">
        <v>0</v>
      </c>
      <c r="E9" s="46" t="s">
        <v>5</v>
      </c>
      <c r="F9" s="46">
        <v>0</v>
      </c>
      <c r="G9" s="46">
        <v>0</v>
      </c>
      <c r="H9" s="46" t="s">
        <v>5</v>
      </c>
      <c r="I9" s="46"/>
      <c r="J9" s="46"/>
      <c r="K9" s="192"/>
      <c r="L9" s="46"/>
      <c r="M9" s="46"/>
      <c r="N9" s="46"/>
      <c r="O9" s="46"/>
      <c r="P9" s="46"/>
      <c r="Q9" s="46"/>
      <c r="R9" s="46"/>
      <c r="S9" s="58"/>
    </row>
    <row r="10" spans="1:19" ht="25.5" customHeight="1" x14ac:dyDescent="0.25">
      <c r="A10" s="35" t="s">
        <v>35</v>
      </c>
      <c r="B10" s="36" t="s">
        <v>79</v>
      </c>
      <c r="C10" s="46">
        <v>0</v>
      </c>
      <c r="D10" s="46">
        <v>0</v>
      </c>
      <c r="E10" s="46" t="s">
        <v>5</v>
      </c>
      <c r="F10" s="46">
        <v>0</v>
      </c>
      <c r="G10" s="46">
        <v>0</v>
      </c>
      <c r="H10" s="46" t="s">
        <v>5</v>
      </c>
      <c r="I10" s="46"/>
      <c r="J10" s="46"/>
      <c r="K10" s="192"/>
      <c r="L10" s="46"/>
      <c r="M10" s="46"/>
      <c r="N10" s="46"/>
      <c r="O10" s="46"/>
      <c r="P10" s="46"/>
      <c r="Q10" s="46"/>
      <c r="R10" s="46"/>
      <c r="S10" s="193"/>
    </row>
    <row r="11" spans="1:19" ht="25.5" customHeight="1" x14ac:dyDescent="0.25">
      <c r="A11" s="35" t="s">
        <v>36</v>
      </c>
      <c r="B11" s="36" t="s">
        <v>80</v>
      </c>
      <c r="C11" s="46">
        <v>0</v>
      </c>
      <c r="D11" s="46">
        <v>0</v>
      </c>
      <c r="E11" s="46" t="s">
        <v>5</v>
      </c>
      <c r="F11" s="46">
        <v>0</v>
      </c>
      <c r="G11" s="46">
        <v>0</v>
      </c>
      <c r="H11" s="46" t="s">
        <v>5</v>
      </c>
      <c r="I11" s="46"/>
      <c r="J11" s="46"/>
      <c r="K11" s="192"/>
      <c r="L11" s="46"/>
      <c r="M11" s="46"/>
      <c r="N11" s="46"/>
      <c r="O11" s="46"/>
      <c r="P11" s="46"/>
      <c r="Q11" s="46"/>
      <c r="R11" s="46"/>
      <c r="S11" s="193"/>
    </row>
    <row r="12" spans="1:19" ht="54.75" customHeight="1" x14ac:dyDescent="0.25">
      <c r="A12" s="35" t="s">
        <v>81</v>
      </c>
      <c r="B12" s="31" t="s">
        <v>82</v>
      </c>
      <c r="C12" s="46">
        <v>0</v>
      </c>
      <c r="D12" s="46">
        <v>10</v>
      </c>
      <c r="E12" s="192">
        <v>100</v>
      </c>
      <c r="F12" s="46">
        <v>0</v>
      </c>
      <c r="G12" s="46">
        <v>10</v>
      </c>
      <c r="H12" s="192">
        <v>100</v>
      </c>
      <c r="I12" s="46"/>
      <c r="J12" s="46"/>
      <c r="K12" s="192"/>
      <c r="L12" s="46"/>
      <c r="M12" s="46"/>
      <c r="N12" s="46"/>
      <c r="O12" s="46"/>
      <c r="P12" s="46"/>
      <c r="Q12" s="46"/>
      <c r="R12" s="46"/>
      <c r="S12" s="193"/>
    </row>
    <row r="13" spans="1:19" ht="48" customHeight="1" x14ac:dyDescent="0.25">
      <c r="A13" s="35" t="s">
        <v>83</v>
      </c>
      <c r="B13" s="31" t="s">
        <v>84</v>
      </c>
      <c r="C13" s="46">
        <v>0</v>
      </c>
      <c r="D13" s="46">
        <v>9</v>
      </c>
      <c r="E13" s="192">
        <v>100</v>
      </c>
      <c r="F13" s="46">
        <v>0</v>
      </c>
      <c r="G13" s="46">
        <v>1</v>
      </c>
      <c r="H13" s="192">
        <v>100</v>
      </c>
      <c r="I13" s="46"/>
      <c r="J13" s="46"/>
      <c r="K13" s="192"/>
      <c r="L13" s="46"/>
      <c r="M13" s="46"/>
      <c r="N13" s="46"/>
      <c r="O13" s="46"/>
      <c r="P13" s="46"/>
      <c r="Q13" s="46"/>
      <c r="R13" s="46"/>
      <c r="S13" s="193"/>
    </row>
    <row r="14" spans="1:19" ht="44.25" customHeight="1" x14ac:dyDescent="0.25">
      <c r="A14" s="35" t="s">
        <v>85</v>
      </c>
      <c r="B14" s="31" t="s">
        <v>86</v>
      </c>
      <c r="C14" s="46">
        <v>0</v>
      </c>
      <c r="D14" s="46">
        <v>9</v>
      </c>
      <c r="E14" s="192">
        <v>100</v>
      </c>
      <c r="F14" s="46">
        <v>0</v>
      </c>
      <c r="G14" s="46">
        <v>1</v>
      </c>
      <c r="H14" s="192">
        <v>100</v>
      </c>
      <c r="I14" s="46"/>
      <c r="J14" s="46"/>
      <c r="K14" s="192"/>
      <c r="L14" s="46"/>
      <c r="M14" s="46"/>
      <c r="N14" s="46"/>
      <c r="O14" s="46"/>
      <c r="P14" s="46"/>
      <c r="Q14" s="46"/>
      <c r="R14" s="46"/>
      <c r="S14" s="193"/>
    </row>
    <row r="15" spans="1:19" ht="95.25" customHeight="1" x14ac:dyDescent="0.25">
      <c r="A15" s="35" t="s">
        <v>87</v>
      </c>
      <c r="B15" s="31" t="s">
        <v>88</v>
      </c>
      <c r="C15" s="46">
        <v>0</v>
      </c>
      <c r="D15" s="46">
        <v>0</v>
      </c>
      <c r="E15" s="46" t="s">
        <v>5</v>
      </c>
      <c r="F15" s="46">
        <v>0</v>
      </c>
      <c r="G15" s="46">
        <v>0</v>
      </c>
      <c r="H15" s="46" t="s">
        <v>5</v>
      </c>
      <c r="I15" s="46"/>
      <c r="J15" s="46"/>
      <c r="K15" s="192"/>
      <c r="L15" s="46"/>
      <c r="M15" s="46"/>
      <c r="N15" s="46"/>
      <c r="O15" s="46"/>
      <c r="P15" s="46"/>
      <c r="Q15" s="46"/>
      <c r="R15" s="46"/>
      <c r="S15" s="58"/>
    </row>
    <row r="16" spans="1:19" ht="21" customHeight="1" x14ac:dyDescent="0.25">
      <c r="A16" s="35" t="s">
        <v>89</v>
      </c>
      <c r="B16" s="36" t="s">
        <v>79</v>
      </c>
      <c r="C16" s="46">
        <v>0</v>
      </c>
      <c r="D16" s="46">
        <v>0</v>
      </c>
      <c r="E16" s="46" t="s">
        <v>5</v>
      </c>
      <c r="F16" s="46">
        <v>0</v>
      </c>
      <c r="G16" s="46">
        <v>0</v>
      </c>
      <c r="H16" s="46" t="s">
        <v>5</v>
      </c>
      <c r="I16" s="46"/>
      <c r="J16" s="46"/>
      <c r="K16" s="192"/>
      <c r="L16" s="46"/>
      <c r="M16" s="46"/>
      <c r="N16" s="46"/>
      <c r="O16" s="46"/>
      <c r="P16" s="46"/>
      <c r="Q16" s="46"/>
      <c r="R16" s="46"/>
      <c r="S16" s="58"/>
    </row>
    <row r="17" spans="1:19" ht="21" customHeight="1" x14ac:dyDescent="0.25">
      <c r="A17" s="35" t="s">
        <v>90</v>
      </c>
      <c r="B17" s="36" t="s">
        <v>80</v>
      </c>
      <c r="C17" s="46">
        <v>0</v>
      </c>
      <c r="D17" s="46">
        <v>0</v>
      </c>
      <c r="E17" s="46" t="s">
        <v>5</v>
      </c>
      <c r="F17" s="46">
        <v>0</v>
      </c>
      <c r="G17" s="46">
        <v>0</v>
      </c>
      <c r="H17" s="46" t="s">
        <v>5</v>
      </c>
      <c r="I17" s="46"/>
      <c r="J17" s="46"/>
      <c r="K17" s="192"/>
      <c r="L17" s="46"/>
      <c r="M17" s="46"/>
      <c r="N17" s="46"/>
      <c r="O17" s="46"/>
      <c r="P17" s="46"/>
      <c r="Q17" s="46"/>
      <c r="R17" s="46"/>
      <c r="S17" s="58"/>
    </row>
    <row r="18" spans="1:19" ht="39" customHeight="1" x14ac:dyDescent="0.25">
      <c r="A18" s="35" t="s">
        <v>91</v>
      </c>
      <c r="B18" s="31" t="s">
        <v>92</v>
      </c>
      <c r="C18" s="46">
        <v>0</v>
      </c>
      <c r="D18" s="46">
        <v>30</v>
      </c>
      <c r="E18" s="192">
        <v>100</v>
      </c>
      <c r="F18" s="46">
        <v>0</v>
      </c>
      <c r="G18" s="46">
        <v>30</v>
      </c>
      <c r="H18" s="192">
        <v>100</v>
      </c>
      <c r="I18" s="46"/>
      <c r="J18" s="46"/>
      <c r="K18" s="192"/>
      <c r="L18" s="46"/>
      <c r="M18" s="46"/>
      <c r="N18" s="46"/>
      <c r="O18" s="46"/>
      <c r="P18" s="46"/>
      <c r="Q18" s="46"/>
      <c r="R18" s="46"/>
      <c r="S18" s="58"/>
    </row>
  </sheetData>
  <mergeCells count="11">
    <mergeCell ref="B2:R2"/>
    <mergeCell ref="A4:A6"/>
    <mergeCell ref="B4:B6"/>
    <mergeCell ref="C4:Q4"/>
    <mergeCell ref="R4:R5"/>
    <mergeCell ref="C5:E5"/>
    <mergeCell ref="F5:H5"/>
    <mergeCell ref="I5:K5"/>
    <mergeCell ref="L5:N5"/>
    <mergeCell ref="O5:Q5"/>
    <mergeCell ref="B3:R3"/>
  </mergeCells>
  <printOptions horizontalCentered="1"/>
  <pageMargins left="0.11811023622047245" right="0.11811023622047245" top="0.4" bottom="0.19" header="0.31496062992125984" footer="0"/>
  <pageSetup paperSize="9" scale="6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2:K26"/>
  <sheetViews>
    <sheetView view="pageBreakPreview" topLeftCell="A4" zoomScale="112" zoomScaleNormal="100" zoomScaleSheetLayoutView="112" workbookViewId="0">
      <selection activeCell="D8" sqref="D8:K23"/>
    </sheetView>
  </sheetViews>
  <sheetFormatPr defaultRowHeight="13.2" x14ac:dyDescent="0.25"/>
  <cols>
    <col min="1" max="1" width="18.109375" customWidth="1"/>
    <col min="2" max="2" width="14" customWidth="1"/>
    <col min="3" max="3" width="10.6640625" customWidth="1"/>
    <col min="4" max="4" width="9.5546875" bestFit="1" customWidth="1"/>
    <col min="8" max="8" width="12.33203125" bestFit="1" customWidth="1"/>
    <col min="9" max="9" width="11.88671875" bestFit="1" customWidth="1"/>
  </cols>
  <sheetData>
    <row r="2" spans="1:11" ht="49.5" customHeight="1" x14ac:dyDescent="0.25">
      <c r="A2" s="141" t="s">
        <v>105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</row>
    <row r="4" spans="1:11" x14ac:dyDescent="0.25">
      <c r="K4" t="s">
        <v>364</v>
      </c>
    </row>
    <row r="5" spans="1:11" x14ac:dyDescent="0.25">
      <c r="A5" s="138" t="s">
        <v>94</v>
      </c>
      <c r="B5" s="138"/>
      <c r="C5" s="138"/>
      <c r="D5" s="117">
        <v>15</v>
      </c>
      <c r="E5" s="117"/>
      <c r="F5" s="117">
        <v>150</v>
      </c>
      <c r="G5" s="117"/>
      <c r="H5" s="117">
        <v>250</v>
      </c>
      <c r="I5" s="117"/>
      <c r="J5" s="117">
        <v>670</v>
      </c>
      <c r="K5" s="117"/>
    </row>
    <row r="6" spans="1:11" x14ac:dyDescent="0.25">
      <c r="A6" s="140" t="s">
        <v>95</v>
      </c>
      <c r="B6" s="140"/>
      <c r="C6" s="140"/>
      <c r="D6" s="37" t="s">
        <v>96</v>
      </c>
      <c r="E6" s="37" t="s">
        <v>97</v>
      </c>
      <c r="F6" s="37" t="s">
        <v>96</v>
      </c>
      <c r="G6" s="37" t="s">
        <v>97</v>
      </c>
      <c r="H6" s="37" t="s">
        <v>96</v>
      </c>
      <c r="I6" s="37" t="s">
        <v>97</v>
      </c>
      <c r="J6" s="37" t="s">
        <v>96</v>
      </c>
      <c r="K6" s="37" t="s">
        <v>97</v>
      </c>
    </row>
    <row r="7" spans="1:11" ht="39.6" x14ac:dyDescent="0.25">
      <c r="A7" s="37" t="s">
        <v>98</v>
      </c>
      <c r="B7" s="37" t="s">
        <v>99</v>
      </c>
      <c r="C7" s="7" t="s">
        <v>100</v>
      </c>
      <c r="D7" s="30"/>
      <c r="E7" s="30"/>
      <c r="F7" s="30"/>
      <c r="G7" s="30"/>
      <c r="H7" s="30"/>
      <c r="I7" s="30"/>
      <c r="J7" s="30"/>
      <c r="K7" s="30"/>
    </row>
    <row r="8" spans="1:11" x14ac:dyDescent="0.25">
      <c r="A8" s="140" t="s">
        <v>204</v>
      </c>
      <c r="B8" s="117" t="s">
        <v>101</v>
      </c>
      <c r="C8" s="7" t="s">
        <v>102</v>
      </c>
      <c r="D8" s="204">
        <f>15873.21+18669.14*2</f>
        <v>53211.49</v>
      </c>
      <c r="E8" s="204">
        <f>15873.21+18669.14</f>
        <v>34542.35</v>
      </c>
      <c r="F8" s="204">
        <f>15873.21+18669.14*2</f>
        <v>53211.49</v>
      </c>
      <c r="G8" s="204">
        <f>15873.21+18669.14</f>
        <v>34542.35</v>
      </c>
      <c r="H8" s="215">
        <f>15369.35+(5077820.1*0.2+10640.57*250+32004.24)*2</f>
        <v>7430790.8700000001</v>
      </c>
      <c r="I8" s="215">
        <f>15369.35+(5077820.1*0.2+10640.57*250+32004.24)*1</f>
        <v>3723080.1100000003</v>
      </c>
      <c r="J8" s="215">
        <f>15369.35+(5077820.1*0.2*2+10640.57*670+32004.24)*2</f>
        <v>18399997.710000001</v>
      </c>
      <c r="K8" s="215">
        <f>15369.35+(5077820.1*0.2*2+10640.57*670+32004.24)*1</f>
        <v>9207683.5299999993</v>
      </c>
    </row>
    <row r="9" spans="1:11" x14ac:dyDescent="0.25">
      <c r="A9" s="140"/>
      <c r="B9" s="117"/>
      <c r="C9" s="7" t="s">
        <v>103</v>
      </c>
      <c r="D9" s="204">
        <f t="shared" ref="D9:F11" si="0">15873.21+18669.14*2</f>
        <v>53211.49</v>
      </c>
      <c r="E9" s="204">
        <f t="shared" ref="E9:G11" si="1">15873.21+18669.14</f>
        <v>34542.35</v>
      </c>
      <c r="F9" s="204">
        <f t="shared" si="0"/>
        <v>53211.49</v>
      </c>
      <c r="G9" s="204">
        <f t="shared" si="1"/>
        <v>34542.35</v>
      </c>
      <c r="H9" s="215">
        <f>15369.35+(9390663.94*0.2+10640.57*250+32004.24)*2</f>
        <v>9155928.4059999995</v>
      </c>
      <c r="I9" s="215">
        <f>15369.35+(9390663.94*0.2+10640.57*250+32004.24)*1</f>
        <v>4585648.8779999996</v>
      </c>
      <c r="J9" s="215">
        <f>15369.35+(9390663.94*0.2*2+10640.57*670+32004.24)*2</f>
        <v>21850272.782000002</v>
      </c>
      <c r="K9" s="215">
        <f>15369.35+(9390663.94*0.2*2+10640.57*250+32004.24)*1</f>
        <v>6463781.6659999993</v>
      </c>
    </row>
    <row r="10" spans="1:11" x14ac:dyDescent="0.25">
      <c r="A10" s="140"/>
      <c r="B10" s="117" t="s">
        <v>104</v>
      </c>
      <c r="C10" s="7" t="s">
        <v>102</v>
      </c>
      <c r="D10" s="204">
        <f t="shared" si="0"/>
        <v>53211.49</v>
      </c>
      <c r="E10" s="204">
        <f t="shared" si="1"/>
        <v>34542.35</v>
      </c>
      <c r="F10" s="204">
        <f t="shared" si="0"/>
        <v>53211.49</v>
      </c>
      <c r="G10" s="204">
        <f t="shared" si="1"/>
        <v>34542.35</v>
      </c>
      <c r="H10" s="215">
        <f>15369.35+(5077820.1*0.2+10640.57*0+32004.24)*2</f>
        <v>2110505.87</v>
      </c>
      <c r="I10" s="215">
        <f>15369.35+(5077820.1*0.2+10640.57*0+32004.24)*1</f>
        <v>1062937.6100000001</v>
      </c>
      <c r="J10" s="215">
        <f>15369.35+(5077820.1*0.2*2+10640.57*0+32004.24)*2</f>
        <v>4141633.91</v>
      </c>
      <c r="K10" s="215">
        <f>15369.35+(5077820.1*0.2*2+10640.57*0+32004.24)*1</f>
        <v>2078501.6300000001</v>
      </c>
    </row>
    <row r="11" spans="1:11" x14ac:dyDescent="0.25">
      <c r="A11" s="140"/>
      <c r="B11" s="117"/>
      <c r="C11" s="7" t="s">
        <v>103</v>
      </c>
      <c r="D11" s="204">
        <f t="shared" si="0"/>
        <v>53211.49</v>
      </c>
      <c r="E11" s="204">
        <f t="shared" si="1"/>
        <v>34542.35</v>
      </c>
      <c r="F11" s="204">
        <f t="shared" si="0"/>
        <v>53211.49</v>
      </c>
      <c r="G11" s="204">
        <f t="shared" si="1"/>
        <v>34542.35</v>
      </c>
      <c r="H11" s="215">
        <f>15369.35+(9390663.94*0.2+10640.57*0+32004.24)*2</f>
        <v>3835643.406</v>
      </c>
      <c r="I11" s="215">
        <f>15369.35+(9390663.94*0.2+10640.57*0+32004.24)*1</f>
        <v>1925506.378</v>
      </c>
      <c r="J11" s="215">
        <f>15369.35+(9390663.94*0.2*2+10640.57*0+32004.24)*2</f>
        <v>7591908.9819999998</v>
      </c>
      <c r="K11" s="215">
        <f>15369.35+(9390663.94*0.2*2+10640.57*0+32004.24)*1</f>
        <v>3803639.1660000002</v>
      </c>
    </row>
    <row r="12" spans="1:11" x14ac:dyDescent="0.25">
      <c r="A12" s="117">
        <v>750</v>
      </c>
      <c r="B12" s="117" t="s">
        <v>101</v>
      </c>
      <c r="C12" s="7" t="s">
        <v>102</v>
      </c>
      <c r="D12" s="215">
        <f>15873.21+(4318191.63*0.75+10640.57*15+32004.24)*2</f>
        <v>6876386.2350000003</v>
      </c>
      <c r="E12" s="215">
        <f>15873.21+(4318191.63*0.75+10640.57*15+32004.24)*1</f>
        <v>3446129.7225000001</v>
      </c>
      <c r="F12" s="215">
        <f>15873.21+(4318191.63*0.75+10640.57*150+32004.24)*2</f>
        <v>9749340.1350000016</v>
      </c>
      <c r="G12" s="215">
        <f>15873.21+(4318191.63*0.75+10640.57*150+32004.24)*1</f>
        <v>4882606.6725000003</v>
      </c>
      <c r="H12" s="215">
        <f>15369.35+(5077820.1*0.75+10640.57*250+32004.24)*2</f>
        <v>13016392.979999999</v>
      </c>
      <c r="I12" s="215">
        <f>15369.35+(5077820.1*0.75+10640.57*0+32004.24)*1</f>
        <v>3855738.665</v>
      </c>
      <c r="J12" s="215">
        <f>15369.35+(5077820.1*0.75*2+10640.57*670+32004.24)*2</f>
        <v>29571201.93</v>
      </c>
      <c r="K12" s="215">
        <f>15369.35+(5077820.1*0.75*2+10640.57*670+32004.24)*1</f>
        <v>14793285.639999999</v>
      </c>
    </row>
    <row r="13" spans="1:11" x14ac:dyDescent="0.25">
      <c r="A13" s="117"/>
      <c r="B13" s="117"/>
      <c r="C13" s="7" t="s">
        <v>103</v>
      </c>
      <c r="D13" s="215">
        <f>15873.21+(2470091.54*0.75+10640.57*15+32004.24)*2</f>
        <v>4104236.1</v>
      </c>
      <c r="E13" s="215">
        <f>15873.21+(2470091.54*0.75+10640.57*15+32004.24)*1</f>
        <v>2060054.655</v>
      </c>
      <c r="F13" s="215">
        <f>15873.21+(2470091.54*0.75+10640.57*150+32004.24)*2</f>
        <v>6977190.0000000009</v>
      </c>
      <c r="G13" s="215">
        <f>15873.21+(2470091.54*0.75+10640.57*150+32004.24)*1</f>
        <v>3496531.6050000004</v>
      </c>
      <c r="H13" s="215">
        <f>15369.35+(9390663.94*0.75+10640.57*250+32004.24)*2</f>
        <v>19485658.740000002</v>
      </c>
      <c r="I13" s="215">
        <f>15369.35+(9390663.94*0.75+10640.57*0+32004.24)*1</f>
        <v>7090371.5449999999</v>
      </c>
      <c r="J13" s="215">
        <f>15369.35+(9390663.94*0.75*2+10640.57*670+32004.24)*2</f>
        <v>42509733.449999996</v>
      </c>
      <c r="K13" s="215">
        <f>15369.35+(9390663.94*0.75*2+10640.57*670+32004.24)*1</f>
        <v>21262551.399999999</v>
      </c>
    </row>
    <row r="14" spans="1:11" x14ac:dyDescent="0.25">
      <c r="A14" s="117"/>
      <c r="B14" s="117" t="s">
        <v>104</v>
      </c>
      <c r="C14" s="7" t="s">
        <v>102</v>
      </c>
      <c r="D14" s="215">
        <f>15873.21+(4318191.63*0.75+10640.57*0+32004.24)*2</f>
        <v>6557169.1350000007</v>
      </c>
      <c r="E14" s="215">
        <f>15873.21+(4318191.63*0.75+10640.57*0+32004.24)*1</f>
        <v>3286521.1725000003</v>
      </c>
      <c r="F14" s="215">
        <f>15873.21+(4318191.63*0.75+10640.57*0+32004.24)*2</f>
        <v>6557169.1350000007</v>
      </c>
      <c r="G14" s="215">
        <f>15873.21+(4318191.63*0.75+10640.57*0+32004.24)*1</f>
        <v>3286521.1725000003</v>
      </c>
      <c r="H14" s="215">
        <f>15369.35+(5077820.1*0.75+10640.57*0+32004.24)*2</f>
        <v>7696107.9799999995</v>
      </c>
      <c r="I14" s="215">
        <f>15369.35+(5077820.1*0.75+10640.57*0+32004.24)*1</f>
        <v>3855738.665</v>
      </c>
      <c r="J14" s="215">
        <f>15369.35+(5077820.1*0.75*2+10640.57*0+32004.24)*2</f>
        <v>15312838.129999999</v>
      </c>
      <c r="K14" s="215">
        <f>15369.35+(5077820.1*0.75*2+10640.57*0+32004.24)*1</f>
        <v>7664103.7399999993</v>
      </c>
    </row>
    <row r="15" spans="1:11" x14ac:dyDescent="0.25">
      <c r="A15" s="117"/>
      <c r="B15" s="117"/>
      <c r="C15" s="7" t="s">
        <v>103</v>
      </c>
      <c r="D15" s="215">
        <f>15873.21+(2470091.54*0.75+10640.57*0+32004.24)*2</f>
        <v>3785019</v>
      </c>
      <c r="E15" s="215">
        <f>15873.21+(2470091.54*0.75+10640.57*0+32004.24)*1</f>
        <v>1900446.105</v>
      </c>
      <c r="F15" s="215">
        <f>15873.21+(2470091.54*0.75+10640.57*0+32004.24)*2</f>
        <v>3785019</v>
      </c>
      <c r="G15" s="215">
        <f>15873.21+(2470091.54*0.75+10640.57*0+32004.24)*1</f>
        <v>1900446.105</v>
      </c>
      <c r="H15" s="215">
        <f>15369.35+(9390663.94*0.75+10640.57*0+32004.24)*2</f>
        <v>14165373.74</v>
      </c>
      <c r="I15" s="215">
        <f>15369.35+(9390663.94*0.75+10640.57*0+32004.24)*1</f>
        <v>7090371.5449999999</v>
      </c>
      <c r="J15" s="215">
        <f>15369.35+(9390663.94*0.75*2+10640.57*0+32004.24)*2</f>
        <v>28251369.650000002</v>
      </c>
      <c r="K15" s="215">
        <f>15369.35+(9390663.94*0.75*2+10640.57*0+32004.24)*1</f>
        <v>14133369.5</v>
      </c>
    </row>
    <row r="16" spans="1:11" x14ac:dyDescent="0.25">
      <c r="A16" s="117">
        <v>1000</v>
      </c>
      <c r="B16" s="117" t="s">
        <v>101</v>
      </c>
      <c r="C16" s="7" t="s">
        <v>102</v>
      </c>
      <c r="D16" s="215">
        <f>15873.21+(4318191.63*1+10640.57*15+32004.24)*2</f>
        <v>9035482.0500000007</v>
      </c>
      <c r="E16" s="215">
        <f>15873.21+(4318191.63*1+10640.57*15+32004.24)*1</f>
        <v>4525677.63</v>
      </c>
      <c r="F16" s="215">
        <f>15873.21+(4318191.63*1+10640.57*150+32004.24)*2</f>
        <v>11908435.950000001</v>
      </c>
      <c r="G16" s="215">
        <f>15873.21+(4318191.63*1+10640.57*150+32004.24)*1</f>
        <v>5962154.5800000001</v>
      </c>
      <c r="H16" s="215">
        <f>15369.35+(5077820.1*1+10640.57*250+32004.24)*2</f>
        <v>15555303.029999999</v>
      </c>
      <c r="I16" s="215">
        <f>15369.35+(5077820.1*1+10640.57*250+32004.24)*1</f>
        <v>7785336.1899999995</v>
      </c>
      <c r="J16" s="215">
        <f>15369.35+(5077820.1*1*2+10640.57*670+32004.24)*2</f>
        <v>34649022.029999994</v>
      </c>
      <c r="K16" s="215">
        <f>15369.35+(5077820.1*1*2+10640.57*670+32004.24)*1</f>
        <v>17332195.689999998</v>
      </c>
    </row>
    <row r="17" spans="1:11" x14ac:dyDescent="0.25">
      <c r="A17" s="117"/>
      <c r="B17" s="117"/>
      <c r="C17" s="7" t="s">
        <v>103</v>
      </c>
      <c r="D17" s="215">
        <f>15873.21+(2470091.54*1+10640.57*15+32004.24)*2</f>
        <v>5339281.87</v>
      </c>
      <c r="E17" s="215">
        <f>15873.21+(2470091.54*1+10640.57*15+32004.24)*1</f>
        <v>2677577.54</v>
      </c>
      <c r="F17" s="215">
        <f>15873.21+(2470091.54*1+10640.57*150+32004.24)*2</f>
        <v>8212235.7700000005</v>
      </c>
      <c r="G17" s="215">
        <f>15873.21+(2470091.54*1+10640.57*150+32004.24)*1</f>
        <v>4114054.49</v>
      </c>
      <c r="H17" s="215">
        <f>15369.35+(9390663.94*1+10640.57*250+32004.24)*2</f>
        <v>24180990.710000001</v>
      </c>
      <c r="I17" s="215">
        <f>15369.35+(9390663.94*1+10640.57*250+32004.24)*1</f>
        <v>12098180.029999999</v>
      </c>
      <c r="J17" s="215">
        <f>15369.35+(9390663.94*1*2+10640.57*670+32004.24)*2</f>
        <v>51900397.389999993</v>
      </c>
      <c r="K17" s="215">
        <f>15369.35+(9390663.94*1*2+10640.57*670+32004.24)*1</f>
        <v>25957883.369999997</v>
      </c>
    </row>
    <row r="18" spans="1:11" x14ac:dyDescent="0.25">
      <c r="A18" s="117"/>
      <c r="B18" s="117" t="s">
        <v>104</v>
      </c>
      <c r="C18" s="7" t="s">
        <v>102</v>
      </c>
      <c r="D18" s="215">
        <f>15873.21+(4318191.63*1+10640.57*0+32004.24)*2</f>
        <v>8716264.9500000011</v>
      </c>
      <c r="E18" s="215">
        <f>15873.21+(4318191.63*1+10640.57*0+32004.24)*1</f>
        <v>4366069.08</v>
      </c>
      <c r="F18" s="215">
        <f>15873.21+(4318191.63*1+10640.57*0+32004.24)*2</f>
        <v>8716264.9500000011</v>
      </c>
      <c r="G18" s="215">
        <f>15873.21+(4318191.63*1+10640.57*0+32004.24)*1</f>
        <v>4366069.08</v>
      </c>
      <c r="H18" s="215">
        <f>15369.35+(5077820.1*1+10640.57*0+32004.24)*2</f>
        <v>10235018.029999999</v>
      </c>
      <c r="I18" s="215">
        <f>15369.35+(5077820.1*1+10640.57*0+32004.24)*1</f>
        <v>5125193.6899999995</v>
      </c>
      <c r="J18" s="215">
        <f>15369.35+(5077820.1*1*2+10640.57*0+32004.24)*2</f>
        <v>20390658.23</v>
      </c>
      <c r="K18" s="215">
        <f>15369.35+(5077820.1*1*2+10640.57*0+32004.24)*1</f>
        <v>10203013.789999999</v>
      </c>
    </row>
    <row r="19" spans="1:11" x14ac:dyDescent="0.25">
      <c r="A19" s="117"/>
      <c r="B19" s="117"/>
      <c r="C19" s="7" t="s">
        <v>103</v>
      </c>
      <c r="D19" s="215">
        <f>15873.21+(2470091.54*1+10640.57*0+32004.24)*2</f>
        <v>5020064.7700000005</v>
      </c>
      <c r="E19" s="215">
        <f>15873.21+(2470091.54*1+10640.57*0+32004.24)*1</f>
        <v>2517968.9900000002</v>
      </c>
      <c r="F19" s="215">
        <f>15873.21+(2470091.54*1+10640.57*0+32004.24)*2</f>
        <v>5020064.7700000005</v>
      </c>
      <c r="G19" s="215">
        <f>15873.21+(2470091.54*1+10640.57*0+32004.24)*1</f>
        <v>2517968.9900000002</v>
      </c>
      <c r="H19" s="215">
        <f>15369.35+(9390663.94*1+10640.57*0+32004.24)*2</f>
        <v>18860705.710000001</v>
      </c>
      <c r="I19" s="215">
        <f>15369.35+(9390663.94*1+10640.57*0+32004.24)*1</f>
        <v>9438037.5299999993</v>
      </c>
      <c r="J19" s="215">
        <f>15369.35+(9390663.94*1*2+10640.57*0+32004.24)*2</f>
        <v>37642033.589999996</v>
      </c>
      <c r="K19" s="215">
        <f>15369.35+(9390663.94*1*2+10640.57*0+32004.24)*1</f>
        <v>18828701.469999999</v>
      </c>
    </row>
    <row r="20" spans="1:11" x14ac:dyDescent="0.25">
      <c r="A20" s="117">
        <v>1250</v>
      </c>
      <c r="B20" s="117" t="s">
        <v>101</v>
      </c>
      <c r="C20" s="7" t="s">
        <v>102</v>
      </c>
      <c r="D20" s="215">
        <f>15873.21+(4318191.63*1.25+10640.57*15+32004.24)*2</f>
        <v>11194577.865</v>
      </c>
      <c r="E20" s="215">
        <f>15873.21+(4318191.63*1.25+10640.57*15+32004.24)*1</f>
        <v>5605225.5374999996</v>
      </c>
      <c r="F20" s="215">
        <f>15873.21+(4318191.63*1.25+10640.57*150+32004.24)*2</f>
        <v>14067531.765000001</v>
      </c>
      <c r="G20" s="215">
        <f>15873.21+(4318191.63*1.25+10640.57*150+32004.24)*1</f>
        <v>7041702.4874999998</v>
      </c>
      <c r="H20" s="215">
        <f>15369.35+(5077820.1*1.25+10640.57*250+32004.24)*2</f>
        <v>18094213.080000002</v>
      </c>
      <c r="I20" s="215">
        <f>15369.35+(5077820.1*1.25+10640.57*250+32004.24)*21</f>
        <v>189843228.51499999</v>
      </c>
      <c r="J20" s="215">
        <f>15369.35+(5077820.1*1.25*2+10640.57*670+32004.24)*2</f>
        <v>39726842.129999995</v>
      </c>
      <c r="K20" s="215">
        <f>15369.35+(5077820.1*1.25*2+10640.57*670+32004.24)*1</f>
        <v>19871105.739999998</v>
      </c>
    </row>
    <row r="21" spans="1:11" x14ac:dyDescent="0.25">
      <c r="A21" s="117"/>
      <c r="B21" s="117"/>
      <c r="C21" s="7" t="s">
        <v>103</v>
      </c>
      <c r="D21" s="215">
        <f>15873.21+(2470091.54*1.25+10640.57*15+32004.24)*2</f>
        <v>6574327.6399999997</v>
      </c>
      <c r="E21" s="215">
        <f>15873.21+(2470091.54*1.25+10640.57*15+32004.24)*1</f>
        <v>3295100.4249999998</v>
      </c>
      <c r="F21" s="215">
        <f>15873.21+(2470091.54*1.25+10640.57*150+32004.24)*2</f>
        <v>9447281.540000001</v>
      </c>
      <c r="G21" s="215">
        <f>15873.21+(2470091.54*1.25+10640.57*150+32004.24)*1</f>
        <v>4731577.375</v>
      </c>
      <c r="H21" s="215">
        <f>15369.35+(9390663.94*1.25+10640.57*250+32004.24)*2</f>
        <v>28876322.68</v>
      </c>
      <c r="I21" s="215">
        <f>15369.35+(9390663.94*1.25+10640.57*250+32004.24)*1</f>
        <v>14445846.014999999</v>
      </c>
      <c r="J21" s="215">
        <f>15369.35+(9390663.94*1.25*2+10640.57*670+32004.24)*2</f>
        <v>61291061.329999991</v>
      </c>
      <c r="K21" s="215">
        <f>15369.35+(9390663.94*1.25*2+10640.57*670+32004.24)*1</f>
        <v>30653215.339999996</v>
      </c>
    </row>
    <row r="22" spans="1:11" x14ac:dyDescent="0.25">
      <c r="A22" s="117"/>
      <c r="B22" s="117" t="s">
        <v>104</v>
      </c>
      <c r="C22" s="7" t="s">
        <v>102</v>
      </c>
      <c r="D22" s="215">
        <f>15873.21+(4318191.63*1.25+10640.57*0+32004.24)*2</f>
        <v>10875360.765000001</v>
      </c>
      <c r="E22" s="215">
        <f>15873.21+(4318191.63*1.25+10640.57*0+32004.24)*1</f>
        <v>5445616.9874999998</v>
      </c>
      <c r="F22" s="215">
        <f>15873.21+(4318191.63*1.25+10640.57*0+32004.24)*2</f>
        <v>10875360.765000001</v>
      </c>
      <c r="G22" s="215">
        <f>15873.21+(4318191.63*1.25+10640.57*0+32004.24)*1</f>
        <v>5445616.9874999998</v>
      </c>
      <c r="H22" s="215">
        <f>15369.35+(5077820.1*1.25+10640.57*0+32004.24)*2</f>
        <v>12773928.08</v>
      </c>
      <c r="I22" s="215">
        <f>15369.35+(5077820.1*1.25+10640.57*0+32004.24)*1</f>
        <v>6394648.7149999999</v>
      </c>
      <c r="J22" s="215">
        <f>15369.35+(5077820.1*1.25*2+10640.57*0+32004.24)*2</f>
        <v>25468478.330000002</v>
      </c>
      <c r="K22" s="215">
        <f>15369.35+(5077820.1*1.25*2+10640.57*0+32004.24)*1</f>
        <v>12741923.84</v>
      </c>
    </row>
    <row r="23" spans="1:11" x14ac:dyDescent="0.25">
      <c r="A23" s="117"/>
      <c r="B23" s="117"/>
      <c r="C23" s="7" t="s">
        <v>103</v>
      </c>
      <c r="D23" s="215">
        <f>15873.21+(2470091.54*1.25+10640.57*0+32004.24)*2</f>
        <v>6255110.54</v>
      </c>
      <c r="E23" s="215">
        <f>15873.21+(2470091.54*1.25+10640.57*0+32004.24)*1</f>
        <v>3135491.875</v>
      </c>
      <c r="F23" s="215">
        <f>15873.21+(2470091.54*1.25+10640.57*0+32004.24)*2</f>
        <v>6255110.54</v>
      </c>
      <c r="G23" s="215">
        <f>15873.21+(2470091.54*1.25+10640.57*0+32004.24)*1</f>
        <v>3135491.875</v>
      </c>
      <c r="H23" s="215">
        <f>15369.35+(9390663.94*1.25+10640.57*0+32004.24)*2</f>
        <v>23556037.68</v>
      </c>
      <c r="I23" s="215">
        <f>15369.35+(9390663.94*1.25+10640.57*0+32004.24)*1</f>
        <v>11785703.514999999</v>
      </c>
      <c r="J23" s="215">
        <f>15369.35+(9390663.94*1.25*2+10640.57*0+32004.24)*2</f>
        <v>47032697.529999994</v>
      </c>
      <c r="K23" s="215">
        <f>15369.35+(9390663.94*1.25*2+10640.57*0+32004.24)*1</f>
        <v>23524033.439999998</v>
      </c>
    </row>
    <row r="26" spans="1:11" ht="43.5" customHeight="1" x14ac:dyDescent="0.25">
      <c r="A26" s="139"/>
      <c r="B26" s="139"/>
      <c r="C26" s="139"/>
      <c r="D26" s="139"/>
      <c r="E26" s="139"/>
      <c r="F26" s="139"/>
      <c r="G26" s="139"/>
      <c r="H26" s="139"/>
      <c r="I26" s="139"/>
      <c r="J26" s="139"/>
      <c r="K26" s="139"/>
    </row>
  </sheetData>
  <mergeCells count="20">
    <mergeCell ref="A2:K2"/>
    <mergeCell ref="A5:C5"/>
    <mergeCell ref="D5:E5"/>
    <mergeCell ref="F5:G5"/>
    <mergeCell ref="H5:I5"/>
    <mergeCell ref="J5:K5"/>
    <mergeCell ref="A6:C6"/>
    <mergeCell ref="A8:A11"/>
    <mergeCell ref="B8:B9"/>
    <mergeCell ref="B10:B11"/>
    <mergeCell ref="A12:A15"/>
    <mergeCell ref="B12:B13"/>
    <mergeCell ref="B14:B15"/>
    <mergeCell ref="A26:K26"/>
    <mergeCell ref="A16:A19"/>
    <mergeCell ref="B16:B17"/>
    <mergeCell ref="B18:B19"/>
    <mergeCell ref="A20:A23"/>
    <mergeCell ref="B20:B21"/>
    <mergeCell ref="B22:B23"/>
  </mergeCells>
  <printOptions horizontalCentered="1"/>
  <pageMargins left="0.11811023622047245" right="0.11811023622047245" top="0.74803149606299213" bottom="0.35433070866141736" header="0.31496062992125984" footer="0"/>
  <pageSetup paperSize="9" scale="12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30"/>
  <sheetViews>
    <sheetView view="pageBreakPreview" topLeftCell="C7" zoomScaleNormal="100" zoomScaleSheetLayoutView="100" workbookViewId="0">
      <selection activeCell="C9" sqref="C9:E29"/>
    </sheetView>
  </sheetViews>
  <sheetFormatPr defaultRowHeight="13.2" x14ac:dyDescent="0.25"/>
  <cols>
    <col min="1" max="1" width="7" customWidth="1"/>
    <col min="2" max="2" width="32.33203125" customWidth="1"/>
    <col min="5" max="5" width="9.6640625" customWidth="1"/>
    <col min="8" max="8" width="9.5546875" customWidth="1"/>
    <col min="11" max="11" width="9.6640625" customWidth="1"/>
    <col min="14" max="14" width="10" customWidth="1"/>
    <col min="17" max="17" width="10" customWidth="1"/>
  </cols>
  <sheetData>
    <row r="2" spans="1:17" ht="15.6" x14ac:dyDescent="0.3">
      <c r="A2" s="136" t="s">
        <v>106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</row>
    <row r="4" spans="1:17" ht="58.5" customHeight="1" x14ac:dyDescent="0.3">
      <c r="A4" s="142" t="s">
        <v>138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142"/>
    </row>
    <row r="5" spans="1:17" ht="20.25" customHeight="1" x14ac:dyDescent="0.25"/>
    <row r="6" spans="1:17" x14ac:dyDescent="0.25">
      <c r="A6" s="117" t="s">
        <v>50</v>
      </c>
      <c r="B6" s="140" t="s">
        <v>107</v>
      </c>
      <c r="C6" s="143" t="s">
        <v>108</v>
      </c>
      <c r="D6" s="144"/>
      <c r="E6" s="144"/>
      <c r="F6" s="144"/>
      <c r="G6" s="144"/>
      <c r="H6" s="144"/>
      <c r="I6" s="144"/>
      <c r="J6" s="144"/>
      <c r="K6" s="144"/>
      <c r="L6" s="144"/>
      <c r="M6" s="144"/>
      <c r="N6" s="144"/>
      <c r="O6" s="144"/>
      <c r="P6" s="144"/>
      <c r="Q6" s="145"/>
    </row>
    <row r="7" spans="1:17" ht="33" customHeight="1" x14ac:dyDescent="0.25">
      <c r="A7" s="117"/>
      <c r="B7" s="140"/>
      <c r="C7" s="140" t="s">
        <v>109</v>
      </c>
      <c r="D7" s="140"/>
      <c r="E7" s="140"/>
      <c r="F7" s="140" t="s">
        <v>110</v>
      </c>
      <c r="G7" s="140"/>
      <c r="H7" s="140"/>
      <c r="I7" s="140" t="s">
        <v>111</v>
      </c>
      <c r="J7" s="140"/>
      <c r="K7" s="140"/>
      <c r="L7" s="140" t="s">
        <v>112</v>
      </c>
      <c r="M7" s="140"/>
      <c r="N7" s="140"/>
      <c r="O7" s="117" t="s">
        <v>113</v>
      </c>
      <c r="P7" s="117"/>
      <c r="Q7" s="117"/>
    </row>
    <row r="8" spans="1:17" ht="30.6" x14ac:dyDescent="0.25">
      <c r="A8" s="117"/>
      <c r="B8" s="140"/>
      <c r="C8" s="32">
        <v>2022</v>
      </c>
      <c r="D8" s="32">
        <v>2023</v>
      </c>
      <c r="E8" s="29" t="s">
        <v>72</v>
      </c>
      <c r="F8" s="32">
        <v>2022</v>
      </c>
      <c r="G8" s="32">
        <v>2023</v>
      </c>
      <c r="H8" s="29" t="s">
        <v>72</v>
      </c>
      <c r="I8" s="32">
        <v>2022</v>
      </c>
      <c r="J8" s="32">
        <v>2023</v>
      </c>
      <c r="K8" s="29" t="s">
        <v>72</v>
      </c>
      <c r="L8" s="32">
        <v>2022</v>
      </c>
      <c r="M8" s="32">
        <v>2023</v>
      </c>
      <c r="N8" s="29" t="s">
        <v>72</v>
      </c>
      <c r="O8" s="32">
        <v>2022</v>
      </c>
      <c r="P8" s="32">
        <v>2023</v>
      </c>
      <c r="Q8" s="29" t="s">
        <v>72</v>
      </c>
    </row>
    <row r="9" spans="1:17" ht="35.25" customHeight="1" x14ac:dyDescent="0.25">
      <c r="A9" s="39" t="s">
        <v>114</v>
      </c>
      <c r="B9" s="38" t="s">
        <v>115</v>
      </c>
      <c r="C9" s="46">
        <v>0</v>
      </c>
      <c r="D9" s="46">
        <v>10</v>
      </c>
      <c r="E9" s="192">
        <v>100</v>
      </c>
      <c r="F9" s="7" t="s">
        <v>5</v>
      </c>
      <c r="G9" s="7" t="s">
        <v>5</v>
      </c>
      <c r="H9" s="7" t="s">
        <v>5</v>
      </c>
      <c r="I9" s="7" t="s">
        <v>5</v>
      </c>
      <c r="J9" s="7" t="s">
        <v>5</v>
      </c>
      <c r="K9" s="7" t="s">
        <v>5</v>
      </c>
      <c r="L9" s="7" t="s">
        <v>5</v>
      </c>
      <c r="M9" s="7" t="s">
        <v>5</v>
      </c>
      <c r="N9" s="7" t="s">
        <v>5</v>
      </c>
      <c r="O9" s="7" t="s">
        <v>5</v>
      </c>
      <c r="P9" s="7" t="s">
        <v>5</v>
      </c>
      <c r="Q9" s="7" t="s">
        <v>5</v>
      </c>
    </row>
    <row r="10" spans="1:17" ht="30.75" customHeight="1" x14ac:dyDescent="0.25">
      <c r="A10" s="39" t="s">
        <v>21</v>
      </c>
      <c r="B10" s="38" t="s">
        <v>116</v>
      </c>
      <c r="C10" s="46"/>
      <c r="D10" s="46"/>
      <c r="E10" s="46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</row>
    <row r="11" spans="1:17" ht="32.25" customHeight="1" x14ac:dyDescent="0.25">
      <c r="A11" s="39" t="s">
        <v>23</v>
      </c>
      <c r="B11" s="38" t="s">
        <v>117</v>
      </c>
      <c r="C11" s="46">
        <v>0</v>
      </c>
      <c r="D11" s="46">
        <v>10</v>
      </c>
      <c r="E11" s="192">
        <v>100</v>
      </c>
      <c r="F11" s="7" t="s">
        <v>5</v>
      </c>
      <c r="G11" s="7" t="s">
        <v>5</v>
      </c>
      <c r="H11" s="7" t="s">
        <v>5</v>
      </c>
      <c r="I11" s="7" t="s">
        <v>5</v>
      </c>
      <c r="J11" s="7" t="s">
        <v>5</v>
      </c>
      <c r="K11" s="7" t="s">
        <v>5</v>
      </c>
      <c r="L11" s="7" t="s">
        <v>5</v>
      </c>
      <c r="M11" s="7" t="s">
        <v>5</v>
      </c>
      <c r="N11" s="7" t="s">
        <v>5</v>
      </c>
      <c r="O11" s="7" t="s">
        <v>5</v>
      </c>
      <c r="P11" s="7" t="s">
        <v>5</v>
      </c>
      <c r="Q11" s="7" t="s">
        <v>5</v>
      </c>
    </row>
    <row r="12" spans="1:17" ht="32.25" customHeight="1" x14ac:dyDescent="0.25">
      <c r="A12" s="39" t="s">
        <v>25</v>
      </c>
      <c r="B12" s="38" t="s">
        <v>118</v>
      </c>
      <c r="C12" s="46"/>
      <c r="D12" s="46"/>
      <c r="E12" s="46" t="s">
        <v>5</v>
      </c>
      <c r="F12" s="7" t="s">
        <v>5</v>
      </c>
      <c r="G12" s="7" t="s">
        <v>5</v>
      </c>
      <c r="H12" s="7" t="s">
        <v>5</v>
      </c>
      <c r="I12" s="7" t="s">
        <v>5</v>
      </c>
      <c r="J12" s="7" t="s">
        <v>5</v>
      </c>
      <c r="K12" s="7" t="s">
        <v>5</v>
      </c>
      <c r="L12" s="7" t="s">
        <v>5</v>
      </c>
      <c r="M12" s="7" t="s">
        <v>5</v>
      </c>
      <c r="N12" s="7" t="s">
        <v>5</v>
      </c>
      <c r="O12" s="7" t="s">
        <v>5</v>
      </c>
      <c r="P12" s="7" t="s">
        <v>5</v>
      </c>
      <c r="Q12" s="7" t="s">
        <v>5</v>
      </c>
    </row>
    <row r="13" spans="1:17" ht="28.5" customHeight="1" x14ac:dyDescent="0.25">
      <c r="A13" s="39" t="s">
        <v>27</v>
      </c>
      <c r="B13" s="38" t="s">
        <v>119</v>
      </c>
      <c r="C13" s="46"/>
      <c r="D13" s="46"/>
      <c r="E13" s="46" t="s">
        <v>5</v>
      </c>
      <c r="F13" s="7" t="s">
        <v>5</v>
      </c>
      <c r="G13" s="7" t="s">
        <v>5</v>
      </c>
      <c r="H13" s="7" t="s">
        <v>5</v>
      </c>
      <c r="I13" s="7" t="s">
        <v>5</v>
      </c>
      <c r="J13" s="7" t="s">
        <v>5</v>
      </c>
      <c r="K13" s="7" t="s">
        <v>5</v>
      </c>
      <c r="L13" s="7" t="s">
        <v>5</v>
      </c>
      <c r="M13" s="7" t="s">
        <v>5</v>
      </c>
      <c r="N13" s="7" t="s">
        <v>5</v>
      </c>
      <c r="O13" s="7" t="s">
        <v>5</v>
      </c>
      <c r="P13" s="7" t="s">
        <v>5</v>
      </c>
      <c r="Q13" s="7" t="s">
        <v>5</v>
      </c>
    </row>
    <row r="14" spans="1:17" ht="30.75" customHeight="1" x14ac:dyDescent="0.25">
      <c r="A14" s="39" t="s">
        <v>120</v>
      </c>
      <c r="B14" s="38" t="s">
        <v>121</v>
      </c>
      <c r="C14" s="46"/>
      <c r="D14" s="46"/>
      <c r="E14" s="46" t="s">
        <v>5</v>
      </c>
      <c r="F14" s="7" t="s">
        <v>5</v>
      </c>
      <c r="G14" s="7" t="s">
        <v>5</v>
      </c>
      <c r="H14" s="7" t="s">
        <v>5</v>
      </c>
      <c r="I14" s="7" t="s">
        <v>5</v>
      </c>
      <c r="J14" s="7" t="s">
        <v>5</v>
      </c>
      <c r="K14" s="7" t="s">
        <v>5</v>
      </c>
      <c r="L14" s="7" t="s">
        <v>5</v>
      </c>
      <c r="M14" s="7" t="s">
        <v>5</v>
      </c>
      <c r="N14" s="7" t="s">
        <v>5</v>
      </c>
      <c r="O14" s="7" t="s">
        <v>5</v>
      </c>
      <c r="P14" s="7" t="s">
        <v>5</v>
      </c>
      <c r="Q14" s="7" t="s">
        <v>5</v>
      </c>
    </row>
    <row r="15" spans="1:17" ht="26.25" customHeight="1" x14ac:dyDescent="0.25">
      <c r="A15" s="39" t="s">
        <v>122</v>
      </c>
      <c r="B15" s="38" t="s">
        <v>123</v>
      </c>
      <c r="C15" s="46"/>
      <c r="D15" s="46"/>
      <c r="E15" s="46" t="s">
        <v>5</v>
      </c>
      <c r="F15" s="7" t="s">
        <v>5</v>
      </c>
      <c r="G15" s="7" t="s">
        <v>5</v>
      </c>
      <c r="H15" s="7" t="s">
        <v>5</v>
      </c>
      <c r="I15" s="7" t="s">
        <v>5</v>
      </c>
      <c r="J15" s="7" t="s">
        <v>5</v>
      </c>
      <c r="K15" s="7" t="s">
        <v>5</v>
      </c>
      <c r="L15" s="7" t="s">
        <v>5</v>
      </c>
      <c r="M15" s="7" t="s">
        <v>5</v>
      </c>
      <c r="N15" s="7" t="s">
        <v>5</v>
      </c>
      <c r="O15" s="7" t="s">
        <v>5</v>
      </c>
      <c r="P15" s="7" t="s">
        <v>5</v>
      </c>
      <c r="Q15" s="7" t="s">
        <v>5</v>
      </c>
    </row>
    <row r="16" spans="1:17" ht="26.25" customHeight="1" x14ac:dyDescent="0.25">
      <c r="A16" s="39" t="s">
        <v>124</v>
      </c>
      <c r="B16" s="38" t="s">
        <v>125</v>
      </c>
      <c r="C16" s="46"/>
      <c r="D16" s="46"/>
      <c r="E16" s="46" t="s">
        <v>5</v>
      </c>
      <c r="F16" s="7" t="s">
        <v>5</v>
      </c>
      <c r="G16" s="7" t="s">
        <v>5</v>
      </c>
      <c r="H16" s="7" t="s">
        <v>5</v>
      </c>
      <c r="I16" s="7" t="s">
        <v>5</v>
      </c>
      <c r="J16" s="7" t="s">
        <v>5</v>
      </c>
      <c r="K16" s="7" t="s">
        <v>5</v>
      </c>
      <c r="L16" s="7" t="s">
        <v>5</v>
      </c>
      <c r="M16" s="7" t="s">
        <v>5</v>
      </c>
      <c r="N16" s="7" t="s">
        <v>5</v>
      </c>
      <c r="O16" s="7" t="s">
        <v>5</v>
      </c>
      <c r="P16" s="7" t="s">
        <v>5</v>
      </c>
      <c r="Q16" s="7" t="s">
        <v>5</v>
      </c>
    </row>
    <row r="17" spans="1:17" ht="35.25" customHeight="1" x14ac:dyDescent="0.25">
      <c r="A17" s="39" t="s">
        <v>30</v>
      </c>
      <c r="B17" s="38" t="s">
        <v>126</v>
      </c>
      <c r="C17" s="46"/>
      <c r="D17" s="46"/>
      <c r="E17" s="46" t="s">
        <v>5</v>
      </c>
      <c r="F17" s="7" t="s">
        <v>5</v>
      </c>
      <c r="G17" s="7" t="s">
        <v>5</v>
      </c>
      <c r="H17" s="7" t="s">
        <v>5</v>
      </c>
      <c r="I17" s="7" t="s">
        <v>5</v>
      </c>
      <c r="J17" s="7" t="s">
        <v>5</v>
      </c>
      <c r="K17" s="7" t="s">
        <v>5</v>
      </c>
      <c r="L17" s="7" t="s">
        <v>5</v>
      </c>
      <c r="M17" s="7" t="s">
        <v>5</v>
      </c>
      <c r="N17" s="7" t="s">
        <v>5</v>
      </c>
      <c r="O17" s="7" t="s">
        <v>5</v>
      </c>
      <c r="P17" s="7" t="s">
        <v>5</v>
      </c>
      <c r="Q17" s="7" t="s">
        <v>5</v>
      </c>
    </row>
    <row r="18" spans="1:17" ht="35.25" customHeight="1" x14ac:dyDescent="0.25">
      <c r="A18" s="39" t="s">
        <v>127</v>
      </c>
      <c r="B18" s="38" t="s">
        <v>128</v>
      </c>
      <c r="C18" s="46"/>
      <c r="D18" s="46"/>
      <c r="E18" s="46" t="s">
        <v>5</v>
      </c>
      <c r="F18" s="7" t="s">
        <v>5</v>
      </c>
      <c r="G18" s="7" t="s">
        <v>5</v>
      </c>
      <c r="H18" s="7" t="s">
        <v>5</v>
      </c>
      <c r="I18" s="7" t="s">
        <v>5</v>
      </c>
      <c r="J18" s="7" t="s">
        <v>5</v>
      </c>
      <c r="K18" s="7" t="s">
        <v>5</v>
      </c>
      <c r="L18" s="7" t="s">
        <v>5</v>
      </c>
      <c r="M18" s="7" t="s">
        <v>5</v>
      </c>
      <c r="N18" s="7" t="s">
        <v>5</v>
      </c>
      <c r="O18" s="7" t="s">
        <v>5</v>
      </c>
      <c r="P18" s="7" t="s">
        <v>5</v>
      </c>
      <c r="Q18" s="7" t="s">
        <v>5</v>
      </c>
    </row>
    <row r="19" spans="1:17" ht="25.5" customHeight="1" x14ac:dyDescent="0.25">
      <c r="A19" s="39" t="s">
        <v>129</v>
      </c>
      <c r="B19" s="38" t="s">
        <v>130</v>
      </c>
      <c r="C19" s="46"/>
      <c r="D19" s="46"/>
      <c r="E19" s="46" t="s">
        <v>5</v>
      </c>
      <c r="F19" s="7" t="s">
        <v>5</v>
      </c>
      <c r="G19" s="7" t="s">
        <v>5</v>
      </c>
      <c r="H19" s="7" t="s">
        <v>5</v>
      </c>
      <c r="I19" s="7" t="s">
        <v>5</v>
      </c>
      <c r="J19" s="7" t="s">
        <v>5</v>
      </c>
      <c r="K19" s="7" t="s">
        <v>5</v>
      </c>
      <c r="L19" s="7" t="s">
        <v>5</v>
      </c>
      <c r="M19" s="7" t="s">
        <v>5</v>
      </c>
      <c r="N19" s="7" t="s">
        <v>5</v>
      </c>
      <c r="O19" s="7" t="s">
        <v>5</v>
      </c>
      <c r="P19" s="7" t="s">
        <v>5</v>
      </c>
      <c r="Q19" s="7" t="s">
        <v>5</v>
      </c>
    </row>
    <row r="20" spans="1:17" ht="35.25" customHeight="1" x14ac:dyDescent="0.25">
      <c r="A20" s="39" t="s">
        <v>31</v>
      </c>
      <c r="B20" s="38" t="s">
        <v>117</v>
      </c>
      <c r="C20" s="46"/>
      <c r="D20" s="46"/>
      <c r="E20" s="46" t="s">
        <v>5</v>
      </c>
      <c r="F20" s="7" t="s">
        <v>5</v>
      </c>
      <c r="G20" s="7" t="s">
        <v>5</v>
      </c>
      <c r="H20" s="7" t="s">
        <v>5</v>
      </c>
      <c r="I20" s="7" t="s">
        <v>5</v>
      </c>
      <c r="J20" s="7" t="s">
        <v>5</v>
      </c>
      <c r="K20" s="7" t="s">
        <v>5</v>
      </c>
      <c r="L20" s="7" t="s">
        <v>5</v>
      </c>
      <c r="M20" s="7" t="s">
        <v>5</v>
      </c>
      <c r="N20" s="7" t="s">
        <v>5</v>
      </c>
      <c r="O20" s="7" t="s">
        <v>5</v>
      </c>
      <c r="P20" s="7" t="s">
        <v>5</v>
      </c>
      <c r="Q20" s="7" t="s">
        <v>5</v>
      </c>
    </row>
    <row r="21" spans="1:17" ht="35.25" customHeight="1" x14ac:dyDescent="0.25">
      <c r="A21" s="39" t="s">
        <v>32</v>
      </c>
      <c r="B21" s="38" t="s">
        <v>118</v>
      </c>
      <c r="C21" s="46"/>
      <c r="D21" s="46"/>
      <c r="E21" s="46" t="s">
        <v>5</v>
      </c>
      <c r="F21" s="7" t="s">
        <v>5</v>
      </c>
      <c r="G21" s="7" t="s">
        <v>5</v>
      </c>
      <c r="H21" s="7" t="s">
        <v>5</v>
      </c>
      <c r="I21" s="7" t="s">
        <v>5</v>
      </c>
      <c r="J21" s="7" t="s">
        <v>5</v>
      </c>
      <c r="K21" s="7" t="s">
        <v>5</v>
      </c>
      <c r="L21" s="7" t="s">
        <v>5</v>
      </c>
      <c r="M21" s="7" t="s">
        <v>5</v>
      </c>
      <c r="N21" s="7" t="s">
        <v>5</v>
      </c>
      <c r="O21" s="7" t="s">
        <v>5</v>
      </c>
      <c r="P21" s="7" t="s">
        <v>5</v>
      </c>
      <c r="Q21" s="7" t="s">
        <v>5</v>
      </c>
    </row>
    <row r="22" spans="1:17" ht="30" customHeight="1" x14ac:dyDescent="0.25">
      <c r="A22" s="39" t="s">
        <v>33</v>
      </c>
      <c r="B22" s="38" t="s">
        <v>119</v>
      </c>
      <c r="C22" s="46"/>
      <c r="D22" s="46"/>
      <c r="E22" s="46" t="s">
        <v>5</v>
      </c>
      <c r="F22" s="7" t="s">
        <v>5</v>
      </c>
      <c r="G22" s="7" t="s">
        <v>5</v>
      </c>
      <c r="H22" s="7" t="s">
        <v>5</v>
      </c>
      <c r="I22" s="7" t="s">
        <v>5</v>
      </c>
      <c r="J22" s="7" t="s">
        <v>5</v>
      </c>
      <c r="K22" s="7" t="s">
        <v>5</v>
      </c>
      <c r="L22" s="7" t="s">
        <v>5</v>
      </c>
      <c r="M22" s="7" t="s">
        <v>5</v>
      </c>
      <c r="N22" s="7" t="s">
        <v>5</v>
      </c>
      <c r="O22" s="7" t="s">
        <v>5</v>
      </c>
      <c r="P22" s="7" t="s">
        <v>5</v>
      </c>
      <c r="Q22" s="7" t="s">
        <v>5</v>
      </c>
    </row>
    <row r="23" spans="1:17" ht="34.5" customHeight="1" x14ac:dyDescent="0.25">
      <c r="A23" s="39" t="s">
        <v>131</v>
      </c>
      <c r="B23" s="38" t="s">
        <v>132</v>
      </c>
      <c r="C23" s="46"/>
      <c r="D23" s="46"/>
      <c r="E23" s="46" t="s">
        <v>5</v>
      </c>
      <c r="F23" s="7" t="s">
        <v>5</v>
      </c>
      <c r="G23" s="7" t="s">
        <v>5</v>
      </c>
      <c r="H23" s="7" t="s">
        <v>5</v>
      </c>
      <c r="I23" s="7" t="s">
        <v>5</v>
      </c>
      <c r="J23" s="7" t="s">
        <v>5</v>
      </c>
      <c r="K23" s="7" t="s">
        <v>5</v>
      </c>
      <c r="L23" s="7" t="s">
        <v>5</v>
      </c>
      <c r="M23" s="7" t="s">
        <v>5</v>
      </c>
      <c r="N23" s="7" t="s">
        <v>5</v>
      </c>
      <c r="O23" s="7" t="s">
        <v>5</v>
      </c>
      <c r="P23" s="7" t="s">
        <v>5</v>
      </c>
      <c r="Q23" s="7" t="s">
        <v>5</v>
      </c>
    </row>
    <row r="24" spans="1:17" ht="33" customHeight="1" x14ac:dyDescent="0.25">
      <c r="A24" s="39" t="s">
        <v>133</v>
      </c>
      <c r="B24" s="38" t="s">
        <v>123</v>
      </c>
      <c r="C24" s="46"/>
      <c r="D24" s="46"/>
      <c r="E24" s="46" t="s">
        <v>5</v>
      </c>
      <c r="F24" s="7" t="s">
        <v>5</v>
      </c>
      <c r="G24" s="7" t="s">
        <v>5</v>
      </c>
      <c r="H24" s="7" t="s">
        <v>5</v>
      </c>
      <c r="I24" s="7" t="s">
        <v>5</v>
      </c>
      <c r="J24" s="7" t="s">
        <v>5</v>
      </c>
      <c r="K24" s="7" t="s">
        <v>5</v>
      </c>
      <c r="L24" s="7" t="s">
        <v>5</v>
      </c>
      <c r="M24" s="7" t="s">
        <v>5</v>
      </c>
      <c r="N24" s="7" t="s">
        <v>5</v>
      </c>
      <c r="O24" s="7" t="s">
        <v>5</v>
      </c>
      <c r="P24" s="7" t="s">
        <v>5</v>
      </c>
      <c r="Q24" s="7" t="s">
        <v>5</v>
      </c>
    </row>
    <row r="25" spans="1:17" ht="27" customHeight="1" x14ac:dyDescent="0.25">
      <c r="A25" s="7">
        <v>3</v>
      </c>
      <c r="B25" s="38" t="s">
        <v>134</v>
      </c>
      <c r="C25" s="46">
        <v>0</v>
      </c>
      <c r="D25" s="46">
        <v>10</v>
      </c>
      <c r="E25" s="192">
        <v>100</v>
      </c>
      <c r="F25" s="7" t="s">
        <v>5</v>
      </c>
      <c r="G25" s="7" t="s">
        <v>5</v>
      </c>
      <c r="H25" s="7" t="s">
        <v>5</v>
      </c>
      <c r="I25" s="7" t="s">
        <v>5</v>
      </c>
      <c r="J25" s="7" t="s">
        <v>5</v>
      </c>
      <c r="K25" s="7" t="s">
        <v>5</v>
      </c>
      <c r="L25" s="7" t="s">
        <v>5</v>
      </c>
      <c r="M25" s="7" t="s">
        <v>5</v>
      </c>
      <c r="N25" s="7" t="s">
        <v>5</v>
      </c>
      <c r="O25" s="7" t="s">
        <v>5</v>
      </c>
      <c r="P25" s="7" t="s">
        <v>5</v>
      </c>
      <c r="Q25" s="7" t="s">
        <v>5</v>
      </c>
    </row>
    <row r="26" spans="1:17" ht="35.25" customHeight="1" x14ac:dyDescent="0.25">
      <c r="A26" s="39" t="s">
        <v>35</v>
      </c>
      <c r="B26" s="38" t="s">
        <v>135</v>
      </c>
      <c r="C26" s="46">
        <v>0</v>
      </c>
      <c r="D26" s="46">
        <v>10</v>
      </c>
      <c r="E26" s="192">
        <v>100</v>
      </c>
      <c r="F26" s="7" t="s">
        <v>5</v>
      </c>
      <c r="G26" s="7" t="s">
        <v>5</v>
      </c>
      <c r="H26" s="7" t="s">
        <v>5</v>
      </c>
      <c r="I26" s="7" t="s">
        <v>5</v>
      </c>
      <c r="J26" s="7" t="s">
        <v>5</v>
      </c>
      <c r="K26" s="7" t="s">
        <v>5</v>
      </c>
      <c r="L26" s="7" t="s">
        <v>5</v>
      </c>
      <c r="M26" s="7" t="s">
        <v>5</v>
      </c>
      <c r="N26" s="7" t="s">
        <v>5</v>
      </c>
      <c r="O26" s="7" t="s">
        <v>5</v>
      </c>
      <c r="P26" s="7" t="s">
        <v>5</v>
      </c>
      <c r="Q26" s="7" t="s">
        <v>5</v>
      </c>
    </row>
    <row r="27" spans="1:17" ht="47.25" customHeight="1" x14ac:dyDescent="0.25">
      <c r="A27" s="39" t="s">
        <v>36</v>
      </c>
      <c r="B27" s="38" t="s">
        <v>136</v>
      </c>
      <c r="C27" s="46"/>
      <c r="D27" s="46"/>
      <c r="E27" s="46" t="s">
        <v>5</v>
      </c>
      <c r="F27" s="7" t="s">
        <v>5</v>
      </c>
      <c r="G27" s="7" t="s">
        <v>5</v>
      </c>
      <c r="H27" s="7" t="s">
        <v>5</v>
      </c>
      <c r="I27" s="7" t="s">
        <v>5</v>
      </c>
      <c r="J27" s="7" t="s">
        <v>5</v>
      </c>
      <c r="K27" s="7" t="s">
        <v>5</v>
      </c>
      <c r="L27" s="7" t="s">
        <v>5</v>
      </c>
      <c r="M27" s="7" t="s">
        <v>5</v>
      </c>
      <c r="N27" s="7" t="s">
        <v>5</v>
      </c>
      <c r="O27" s="7" t="s">
        <v>5</v>
      </c>
      <c r="P27" s="7" t="s">
        <v>5</v>
      </c>
      <c r="Q27" s="7" t="s">
        <v>5</v>
      </c>
    </row>
    <row r="28" spans="1:17" ht="35.25" customHeight="1" x14ac:dyDescent="0.25">
      <c r="A28" s="39" t="s">
        <v>37</v>
      </c>
      <c r="B28" s="38" t="s">
        <v>137</v>
      </c>
      <c r="C28" s="46"/>
      <c r="D28" s="46"/>
      <c r="E28" s="46" t="s">
        <v>5</v>
      </c>
      <c r="F28" s="7" t="s">
        <v>5</v>
      </c>
      <c r="G28" s="7" t="s">
        <v>5</v>
      </c>
      <c r="H28" s="7" t="s">
        <v>5</v>
      </c>
      <c r="I28" s="7" t="s">
        <v>5</v>
      </c>
      <c r="J28" s="7" t="s">
        <v>5</v>
      </c>
      <c r="K28" s="7" t="s">
        <v>5</v>
      </c>
      <c r="L28" s="7" t="s">
        <v>5</v>
      </c>
      <c r="M28" s="7" t="s">
        <v>5</v>
      </c>
      <c r="N28" s="7" t="s">
        <v>5</v>
      </c>
      <c r="O28" s="7" t="s">
        <v>5</v>
      </c>
      <c r="P28" s="7" t="s">
        <v>5</v>
      </c>
      <c r="Q28" s="7" t="s">
        <v>5</v>
      </c>
    </row>
    <row r="29" spans="1:17" ht="30.75" customHeight="1" x14ac:dyDescent="0.25">
      <c r="A29" s="39" t="s">
        <v>38</v>
      </c>
      <c r="B29" s="38" t="s">
        <v>123</v>
      </c>
      <c r="C29" s="46"/>
      <c r="D29" s="46"/>
      <c r="E29" s="46" t="s">
        <v>5</v>
      </c>
      <c r="F29" s="7" t="s">
        <v>5</v>
      </c>
      <c r="G29" s="7" t="s">
        <v>5</v>
      </c>
      <c r="H29" s="7" t="s">
        <v>5</v>
      </c>
      <c r="I29" s="7" t="s">
        <v>5</v>
      </c>
      <c r="J29" s="7" t="s">
        <v>5</v>
      </c>
      <c r="K29" s="7" t="s">
        <v>5</v>
      </c>
      <c r="L29" s="7" t="s">
        <v>5</v>
      </c>
      <c r="M29" s="7" t="s">
        <v>5</v>
      </c>
      <c r="N29" s="7" t="s">
        <v>5</v>
      </c>
      <c r="O29" s="7" t="s">
        <v>5</v>
      </c>
      <c r="P29" s="7" t="s">
        <v>5</v>
      </c>
      <c r="Q29" s="7" t="s">
        <v>5</v>
      </c>
    </row>
    <row r="30" spans="1:17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</row>
  </sheetData>
  <mergeCells count="10">
    <mergeCell ref="A2:Q2"/>
    <mergeCell ref="A4:Q4"/>
    <mergeCell ref="A6:A8"/>
    <mergeCell ref="B6:B8"/>
    <mergeCell ref="C6:Q6"/>
    <mergeCell ref="C7:E7"/>
    <mergeCell ref="F7:H7"/>
    <mergeCell ref="I7:K7"/>
    <mergeCell ref="L7:N7"/>
    <mergeCell ref="O7:Q7"/>
  </mergeCells>
  <printOptions horizontalCentered="1"/>
  <pageMargins left="0.11811023622047245" right="0.11811023622047245" top="0.43" bottom="0.26" header="0.31496062992125984" footer="0"/>
  <pageSetup paperSize="9" scale="8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K9"/>
  <sheetViews>
    <sheetView tabSelected="1" view="pageBreakPreview" topLeftCell="B3" zoomScaleNormal="100" zoomScaleSheetLayoutView="100" workbookViewId="0">
      <selection activeCell="H14" sqref="H14"/>
    </sheetView>
  </sheetViews>
  <sheetFormatPr defaultRowHeight="13.2" x14ac:dyDescent="0.25"/>
  <cols>
    <col min="1" max="1" width="7.6640625" customWidth="1"/>
    <col min="2" max="2" width="18" customWidth="1"/>
    <col min="3" max="3" width="12" customWidth="1"/>
    <col min="4" max="4" width="17.5546875" customWidth="1"/>
    <col min="5" max="5" width="18.44140625" customWidth="1"/>
    <col min="6" max="6" width="14.33203125" customWidth="1"/>
    <col min="7" max="7" width="18.5546875" customWidth="1"/>
    <col min="8" max="8" width="13.5546875" customWidth="1"/>
    <col min="9" max="9" width="13.44140625" customWidth="1"/>
    <col min="10" max="10" width="12.44140625" customWidth="1"/>
    <col min="11" max="11" width="14.6640625" customWidth="1"/>
  </cols>
  <sheetData>
    <row r="3" spans="1:11" ht="15.75" customHeight="1" x14ac:dyDescent="0.25">
      <c r="A3" s="146" t="s">
        <v>148</v>
      </c>
      <c r="B3" s="146"/>
      <c r="C3" s="146"/>
      <c r="D3" s="146"/>
      <c r="E3" s="146"/>
      <c r="F3" s="146"/>
      <c r="G3" s="146"/>
      <c r="H3" s="146"/>
      <c r="I3" s="146"/>
      <c r="J3" s="146"/>
      <c r="K3" s="146"/>
    </row>
    <row r="5" spans="1:11" ht="141" customHeight="1" x14ac:dyDescent="0.25">
      <c r="A5" s="7" t="s">
        <v>50</v>
      </c>
      <c r="B5" s="37" t="s">
        <v>139</v>
      </c>
      <c r="C5" s="37" t="s">
        <v>140</v>
      </c>
      <c r="D5" s="37" t="s">
        <v>141</v>
      </c>
      <c r="E5" s="37" t="s">
        <v>142</v>
      </c>
      <c r="F5" s="37" t="s">
        <v>143</v>
      </c>
      <c r="G5" s="37" t="s">
        <v>144</v>
      </c>
      <c r="H5" s="37" t="s">
        <v>216</v>
      </c>
      <c r="I5" s="37" t="s">
        <v>145</v>
      </c>
      <c r="J5" s="37" t="s">
        <v>146</v>
      </c>
      <c r="K5" s="37" t="s">
        <v>147</v>
      </c>
    </row>
    <row r="6" spans="1:11" x14ac:dyDescent="0.25">
      <c r="A6" s="44">
        <v>1</v>
      </c>
      <c r="B6" s="44">
        <v>2</v>
      </c>
      <c r="C6" s="44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4">
        <v>9</v>
      </c>
      <c r="J6" s="44">
        <v>10</v>
      </c>
      <c r="K6" s="44">
        <v>11</v>
      </c>
    </row>
    <row r="7" spans="1:11" ht="39" customHeight="1" x14ac:dyDescent="0.25">
      <c r="A7" s="44"/>
      <c r="B7" s="147" t="s">
        <v>218</v>
      </c>
      <c r="C7" s="150" t="s">
        <v>5</v>
      </c>
      <c r="D7" s="147" t="s">
        <v>217</v>
      </c>
      <c r="E7" s="147" t="s">
        <v>219</v>
      </c>
      <c r="F7" s="44" t="s">
        <v>201</v>
      </c>
      <c r="G7" s="61" t="s">
        <v>221</v>
      </c>
      <c r="H7" s="46">
        <v>0</v>
      </c>
      <c r="I7" s="46"/>
      <c r="J7" s="44"/>
      <c r="K7" s="44"/>
    </row>
    <row r="8" spans="1:11" ht="39.6" x14ac:dyDescent="0.25">
      <c r="A8" s="44"/>
      <c r="B8" s="148"/>
      <c r="C8" s="151"/>
      <c r="D8" s="148"/>
      <c r="E8" s="148"/>
      <c r="F8" s="44"/>
      <c r="G8" s="61" t="s">
        <v>222</v>
      </c>
      <c r="H8" s="46">
        <v>0</v>
      </c>
      <c r="I8" s="46"/>
      <c r="J8" s="44"/>
      <c r="K8" s="44"/>
    </row>
    <row r="9" spans="1:11" ht="94.2" customHeight="1" x14ac:dyDescent="0.25">
      <c r="A9" s="7">
        <v>1</v>
      </c>
      <c r="B9" s="149"/>
      <c r="C9" s="152"/>
      <c r="D9" s="149"/>
      <c r="E9" s="149"/>
      <c r="F9" s="48" t="s">
        <v>201</v>
      </c>
      <c r="G9" s="62" t="s">
        <v>223</v>
      </c>
      <c r="H9" s="46">
        <f>'4.1.'!D9</f>
        <v>10</v>
      </c>
      <c r="I9" s="46">
        <v>30</v>
      </c>
      <c r="J9" s="46">
        <v>0</v>
      </c>
      <c r="K9" s="46" t="s">
        <v>5</v>
      </c>
    </row>
  </sheetData>
  <mergeCells count="5">
    <mergeCell ref="A3:K3"/>
    <mergeCell ref="E7:E9"/>
    <mergeCell ref="D7:D9"/>
    <mergeCell ref="C7:C9"/>
    <mergeCell ref="B7:B9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9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0"/>
  <sheetViews>
    <sheetView view="pageBreakPreview" zoomScale="90" zoomScaleNormal="100" zoomScaleSheetLayoutView="90" workbookViewId="0">
      <selection activeCell="D14" sqref="D14"/>
    </sheetView>
  </sheetViews>
  <sheetFormatPr defaultRowHeight="13.2" x14ac:dyDescent="0.25"/>
  <cols>
    <col min="1" max="1" width="7.5546875" customWidth="1"/>
    <col min="2" max="2" width="64.88671875" customWidth="1"/>
    <col min="3" max="3" width="13.109375" customWidth="1"/>
    <col min="4" max="4" width="18.44140625" customWidth="1"/>
  </cols>
  <sheetData>
    <row r="2" spans="1:4" ht="15.6" x14ac:dyDescent="0.25">
      <c r="A2" s="153" t="s">
        <v>158</v>
      </c>
      <c r="B2" s="153"/>
      <c r="C2" s="153"/>
      <c r="D2" s="153"/>
    </row>
    <row r="3" spans="1:4" ht="41.25" customHeight="1" x14ac:dyDescent="0.25">
      <c r="A3" s="194" t="s">
        <v>214</v>
      </c>
      <c r="B3" s="194"/>
      <c r="C3" s="194"/>
      <c r="D3" s="194"/>
    </row>
    <row r="4" spans="1:4" ht="31.2" x14ac:dyDescent="0.25">
      <c r="A4" s="4" t="s">
        <v>50</v>
      </c>
      <c r="B4" s="4" t="s">
        <v>149</v>
      </c>
      <c r="C4" s="6" t="s">
        <v>150</v>
      </c>
      <c r="D4" s="4"/>
    </row>
    <row r="5" spans="1:4" ht="80.25" customHeight="1" x14ac:dyDescent="0.25">
      <c r="A5" s="4">
        <v>1</v>
      </c>
      <c r="B5" s="40" t="s">
        <v>159</v>
      </c>
      <c r="C5" s="6" t="s">
        <v>151</v>
      </c>
      <c r="D5" s="6" t="s">
        <v>220</v>
      </c>
    </row>
    <row r="6" spans="1:4" ht="54.75" customHeight="1" x14ac:dyDescent="0.25">
      <c r="A6" s="4">
        <v>2</v>
      </c>
      <c r="B6" s="40" t="s">
        <v>152</v>
      </c>
      <c r="C6" s="6" t="s">
        <v>153</v>
      </c>
      <c r="D6" s="4" t="s">
        <v>5</v>
      </c>
    </row>
    <row r="7" spans="1:4" ht="54.75" customHeight="1" x14ac:dyDescent="0.25">
      <c r="A7" s="41" t="s">
        <v>30</v>
      </c>
      <c r="B7" s="40" t="s">
        <v>154</v>
      </c>
      <c r="C7" s="6" t="s">
        <v>153</v>
      </c>
      <c r="D7" s="4" t="s">
        <v>5</v>
      </c>
    </row>
    <row r="8" spans="1:4" ht="60" customHeight="1" x14ac:dyDescent="0.25">
      <c r="A8" s="41" t="s">
        <v>31</v>
      </c>
      <c r="B8" s="40" t="s">
        <v>155</v>
      </c>
      <c r="C8" s="6" t="s">
        <v>153</v>
      </c>
      <c r="D8" s="4" t="s">
        <v>5</v>
      </c>
    </row>
    <row r="9" spans="1:4" ht="47.25" customHeight="1" x14ac:dyDescent="0.25">
      <c r="A9" s="41" t="s">
        <v>156</v>
      </c>
      <c r="B9" s="40" t="s">
        <v>211</v>
      </c>
      <c r="C9" s="4" t="s">
        <v>157</v>
      </c>
      <c r="D9" s="4" t="s">
        <v>5</v>
      </c>
    </row>
    <row r="10" spans="1:4" ht="47.25" customHeight="1" x14ac:dyDescent="0.25">
      <c r="A10" s="41" t="s">
        <v>81</v>
      </c>
      <c r="B10" s="40" t="s">
        <v>210</v>
      </c>
      <c r="C10" s="4" t="s">
        <v>157</v>
      </c>
      <c r="D10" s="4" t="s">
        <v>5</v>
      </c>
    </row>
  </sheetData>
  <mergeCells count="2">
    <mergeCell ref="A2:D2"/>
    <mergeCell ref="A3:D3"/>
  </mergeCells>
  <printOptions horizontalCentered="1"/>
  <pageMargins left="0.70866141732283472" right="0.11811023622047245" top="0.74803149606299213" bottom="0.74803149606299213" header="0.31496062992125984" footer="0.31496062992125984"/>
  <pageSetup paperSize="9" scale="85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31"/>
  <sheetViews>
    <sheetView view="pageBreakPreview" zoomScaleNormal="100" zoomScaleSheetLayoutView="100" workbookViewId="0">
      <selection activeCell="A4" sqref="A4:O6"/>
    </sheetView>
  </sheetViews>
  <sheetFormatPr defaultColWidth="9.109375" defaultRowHeight="13.2" x14ac:dyDescent="0.25"/>
  <cols>
    <col min="1" max="11" width="9.109375" style="1"/>
    <col min="12" max="12" width="4.44140625" style="1" customWidth="1"/>
    <col min="13" max="13" width="4.109375" style="1" customWidth="1"/>
    <col min="14" max="14" width="6.88671875" style="1" customWidth="1"/>
    <col min="15" max="15" width="8" style="1" customWidth="1"/>
    <col min="16" max="16384" width="9.109375" style="1"/>
  </cols>
  <sheetData>
    <row r="2" spans="1:15" ht="57.75" customHeight="1" x14ac:dyDescent="0.25">
      <c r="A2" s="119" t="s">
        <v>206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</row>
    <row r="3" spans="1:15" ht="15.6" x14ac:dyDescent="0.3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</row>
    <row r="4" spans="1:15" ht="15.6" x14ac:dyDescent="0.3">
      <c r="A4" s="42" t="s">
        <v>207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>
        <f>'4.1.'!D9</f>
        <v>10</v>
      </c>
      <c r="N4" s="47" t="s">
        <v>202</v>
      </c>
      <c r="O4" s="47"/>
    </row>
    <row r="5" spans="1:15" ht="15.6" x14ac:dyDescent="0.3">
      <c r="A5" s="42"/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7"/>
      <c r="O5" s="47"/>
    </row>
    <row r="6" spans="1:15" ht="12.75" customHeight="1" x14ac:dyDescent="0.3">
      <c r="A6" s="42"/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7"/>
      <c r="O6" s="47"/>
    </row>
    <row r="7" spans="1:15" ht="34.5" customHeight="1" x14ac:dyDescent="0.25">
      <c r="A7" s="154" t="s">
        <v>161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47"/>
    </row>
    <row r="8" spans="1:15" ht="10.5" customHeight="1" x14ac:dyDescent="0.3">
      <c r="A8" s="42"/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7"/>
    </row>
    <row r="9" spans="1:15" ht="15.6" x14ac:dyDescent="0.3">
      <c r="A9" s="42"/>
      <c r="B9" s="42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7"/>
    </row>
    <row r="10" spans="1:15" ht="15.6" x14ac:dyDescent="0.3">
      <c r="A10" s="42" t="s">
        <v>160</v>
      </c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7"/>
    </row>
    <row r="11" spans="1:15" ht="10.5" customHeight="1" x14ac:dyDescent="0.3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7"/>
    </row>
    <row r="12" spans="1:15" ht="18" customHeight="1" x14ac:dyDescent="0.3">
      <c r="A12" s="42"/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7"/>
    </row>
    <row r="13" spans="1:15" ht="51" customHeight="1" x14ac:dyDescent="0.3">
      <c r="A13" s="155" t="s">
        <v>162</v>
      </c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47"/>
    </row>
    <row r="14" spans="1:15" ht="15.6" x14ac:dyDescent="0.3">
      <c r="A14" s="42"/>
      <c r="B14" s="42"/>
      <c r="C14" s="42"/>
      <c r="D14" s="42"/>
      <c r="E14" s="42"/>
      <c r="F14" s="42"/>
      <c r="G14" s="42"/>
      <c r="H14" s="42"/>
      <c r="I14" s="42"/>
      <c r="J14" s="42"/>
      <c r="K14" s="42"/>
      <c r="L14" s="42"/>
      <c r="M14" s="42"/>
      <c r="N14" s="47"/>
    </row>
    <row r="15" spans="1:15" ht="15.6" x14ac:dyDescent="0.3">
      <c r="A15" s="42" t="s">
        <v>200</v>
      </c>
      <c r="B15" s="42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7"/>
    </row>
    <row r="16" spans="1:15" ht="8.25" customHeight="1" x14ac:dyDescent="0.3">
      <c r="A16" s="42"/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7"/>
    </row>
    <row r="17" spans="1:15" ht="15.6" x14ac:dyDescent="0.3">
      <c r="A17" s="42"/>
      <c r="B17" s="42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7"/>
    </row>
    <row r="18" spans="1:15" ht="51.75" customHeight="1" x14ac:dyDescent="0.25">
      <c r="A18" s="154" t="s">
        <v>163</v>
      </c>
      <c r="B18" s="154"/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54"/>
      <c r="N18" s="47"/>
    </row>
    <row r="19" spans="1:15" ht="15.6" x14ac:dyDescent="0.3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7"/>
    </row>
    <row r="20" spans="1:15" ht="33" customHeight="1" x14ac:dyDescent="0.3">
      <c r="A20" s="156" t="s">
        <v>208</v>
      </c>
      <c r="B20" s="156"/>
      <c r="C20" s="156"/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</row>
    <row r="21" spans="1:15" ht="8.25" customHeight="1" x14ac:dyDescent="0.3">
      <c r="A21" s="42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7"/>
    </row>
    <row r="22" spans="1:15" ht="15.6" x14ac:dyDescent="0.3">
      <c r="A22" s="42"/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47"/>
      <c r="O22" s="47"/>
    </row>
    <row r="23" spans="1:15" ht="25.5" customHeight="1" x14ac:dyDescent="0.25">
      <c r="A23" s="195" t="s">
        <v>164</v>
      </c>
      <c r="B23" s="195"/>
      <c r="C23" s="195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47"/>
      <c r="O23" s="47"/>
    </row>
    <row r="24" spans="1:15" ht="8.25" customHeight="1" x14ac:dyDescent="0.3">
      <c r="A24" s="42"/>
      <c r="B24" s="42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7"/>
      <c r="O24" s="47"/>
    </row>
    <row r="25" spans="1:15" ht="15.6" x14ac:dyDescent="0.3">
      <c r="A25" s="42" t="str">
        <f>'3.2.'!A6:J6</f>
        <v xml:space="preserve">1. Разработка проекта  Регламента технологического присоединения к электрическим сетям                                                                         ООО "Регион Энерго"
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7"/>
      <c r="O25" s="47"/>
    </row>
    <row r="26" spans="1:15" ht="15.6" x14ac:dyDescent="0.3">
      <c r="A26" s="42"/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7"/>
      <c r="O26" s="47"/>
    </row>
    <row r="27" spans="1:15" ht="15.6" x14ac:dyDescent="0.3">
      <c r="A27" s="42"/>
      <c r="B27" s="42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7"/>
      <c r="O27" s="47"/>
    </row>
    <row r="28" spans="1:15" ht="15.6" x14ac:dyDescent="0.3">
      <c r="A28" s="59"/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60"/>
    </row>
    <row r="29" spans="1:15" ht="15.6" x14ac:dyDescent="0.3">
      <c r="A29" s="59"/>
      <c r="B29" s="59"/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60"/>
    </row>
    <row r="30" spans="1:15" ht="15.6" x14ac:dyDescent="0.3"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</row>
    <row r="31" spans="1:15" ht="15.6" x14ac:dyDescent="0.3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</row>
  </sheetData>
  <mergeCells count="5">
    <mergeCell ref="A2:M2"/>
    <mergeCell ref="A7:M7"/>
    <mergeCell ref="A13:M13"/>
    <mergeCell ref="A18:M18"/>
    <mergeCell ref="A20:N20"/>
  </mergeCells>
  <printOptions horizontalCentered="1"/>
  <pageMargins left="0.11811023622047245" right="0.24" top="0.48" bottom="0.15748031496062992" header="0" footer="0"/>
  <pageSetup paperSize="9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8"/>
  <sheetViews>
    <sheetView view="pageBreakPreview" zoomScaleNormal="100" zoomScaleSheetLayoutView="100" workbookViewId="0">
      <selection activeCell="G14" sqref="G14"/>
    </sheetView>
  </sheetViews>
  <sheetFormatPr defaultColWidth="9.109375" defaultRowHeight="13.2" x14ac:dyDescent="0.25"/>
  <cols>
    <col min="1" max="1" width="5.44140625" style="60" customWidth="1"/>
    <col min="2" max="2" width="11.5546875" style="60" customWidth="1"/>
    <col min="3" max="3" width="11.44140625" style="60" customWidth="1"/>
    <col min="4" max="5" width="9" style="60" customWidth="1"/>
    <col min="6" max="7" width="12.44140625" style="60" customWidth="1"/>
    <col min="8" max="8" width="12.33203125" style="60" customWidth="1"/>
    <col min="9" max="9" width="9.109375" style="60" customWidth="1"/>
    <col min="10" max="10" width="11.33203125" style="60" customWidth="1"/>
    <col min="11" max="11" width="13.88671875" style="60" customWidth="1"/>
    <col min="12" max="12" width="12.109375" style="60" customWidth="1"/>
    <col min="13" max="13" width="11.88671875" style="60" customWidth="1"/>
    <col min="14" max="14" width="14.44140625" style="60" customWidth="1"/>
    <col min="15" max="15" width="8.44140625" style="60" customWidth="1"/>
    <col min="16" max="16" width="9.109375" style="60"/>
    <col min="17" max="17" width="9.88671875" style="60" customWidth="1"/>
    <col min="18" max="18" width="10.6640625" style="60" customWidth="1"/>
    <col min="19" max="19" width="10" style="60" customWidth="1"/>
    <col min="20" max="20" width="9.88671875" style="60" customWidth="1"/>
    <col min="21" max="21" width="11.109375" style="60" customWidth="1"/>
    <col min="22" max="22" width="6.109375" style="60" customWidth="1"/>
    <col min="23" max="23" width="9.109375" style="60"/>
    <col min="24" max="24" width="11.33203125" style="60" customWidth="1"/>
    <col min="25" max="25" width="11.109375" style="60" customWidth="1"/>
    <col min="26" max="26" width="8.5546875" style="60" customWidth="1"/>
    <col min="27" max="27" width="11.6640625" style="60" customWidth="1"/>
    <col min="28" max="28" width="11.5546875" style="60" customWidth="1"/>
    <col min="29" max="29" width="10.6640625" style="60" customWidth="1"/>
    <col min="30" max="31" width="11.88671875" style="60" customWidth="1"/>
    <col min="32" max="16384" width="9.109375" style="60"/>
  </cols>
  <sheetData>
    <row r="1" spans="1:31" s="47" customFormat="1" x14ac:dyDescent="0.25"/>
    <row r="2" spans="1:31" s="47" customFormat="1" ht="15.75" customHeight="1" x14ac:dyDescent="0.25">
      <c r="A2" s="213" t="s">
        <v>363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AE2" s="214" t="s">
        <v>203</v>
      </c>
    </row>
    <row r="3" spans="1:31" s="47" customFormat="1" x14ac:dyDescent="0.25"/>
    <row r="4" spans="1:31" s="47" customFormat="1" ht="34.5" customHeight="1" x14ac:dyDescent="0.25">
      <c r="A4" s="206" t="s">
        <v>50</v>
      </c>
      <c r="B4" s="207" t="s">
        <v>165</v>
      </c>
      <c r="C4" s="207" t="s">
        <v>166</v>
      </c>
      <c r="D4" s="207" t="s">
        <v>167</v>
      </c>
      <c r="E4" s="199" t="s">
        <v>168</v>
      </c>
      <c r="F4" s="199"/>
      <c r="G4" s="199"/>
      <c r="H4" s="199"/>
      <c r="I4" s="199"/>
      <c r="J4" s="199" t="s">
        <v>169</v>
      </c>
      <c r="K4" s="199"/>
      <c r="L4" s="199"/>
      <c r="M4" s="199"/>
      <c r="N4" s="199"/>
      <c r="O4" s="199"/>
      <c r="P4" s="196" t="s">
        <v>170</v>
      </c>
      <c r="Q4" s="197"/>
      <c r="R4" s="197"/>
      <c r="S4" s="197"/>
      <c r="T4" s="197"/>
      <c r="U4" s="197"/>
      <c r="V4" s="198"/>
      <c r="W4" s="199" t="s">
        <v>171</v>
      </c>
      <c r="X4" s="199"/>
      <c r="Y4" s="199"/>
      <c r="Z4" s="199"/>
      <c r="AA4" s="199" t="s">
        <v>172</v>
      </c>
      <c r="AB4" s="199"/>
      <c r="AC4" s="199"/>
      <c r="AD4" s="200" t="s">
        <v>173</v>
      </c>
      <c r="AE4" s="200"/>
    </row>
    <row r="5" spans="1:31" s="47" customFormat="1" ht="100.5" customHeight="1" x14ac:dyDescent="0.25">
      <c r="A5" s="208"/>
      <c r="B5" s="209"/>
      <c r="C5" s="209"/>
      <c r="D5" s="209"/>
      <c r="E5" s="205" t="s">
        <v>174</v>
      </c>
      <c r="F5" s="205" t="s">
        <v>175</v>
      </c>
      <c r="G5" s="205" t="s">
        <v>176</v>
      </c>
      <c r="H5" s="205" t="s">
        <v>177</v>
      </c>
      <c r="I5" s="205" t="s">
        <v>113</v>
      </c>
      <c r="J5" s="205" t="s">
        <v>178</v>
      </c>
      <c r="K5" s="205" t="s">
        <v>179</v>
      </c>
      <c r="L5" s="205" t="s">
        <v>180</v>
      </c>
      <c r="M5" s="205" t="s">
        <v>181</v>
      </c>
      <c r="N5" s="205" t="s">
        <v>182</v>
      </c>
      <c r="O5" s="205" t="s">
        <v>113</v>
      </c>
      <c r="P5" s="201" t="s">
        <v>183</v>
      </c>
      <c r="Q5" s="201" t="s">
        <v>184</v>
      </c>
      <c r="R5" s="201" t="s">
        <v>179</v>
      </c>
      <c r="S5" s="201" t="s">
        <v>180</v>
      </c>
      <c r="T5" s="201" t="s">
        <v>181</v>
      </c>
      <c r="U5" s="201" t="s">
        <v>185</v>
      </c>
      <c r="V5" s="202" t="s">
        <v>113</v>
      </c>
      <c r="W5" s="201" t="s">
        <v>186</v>
      </c>
      <c r="X5" s="201" t="s">
        <v>187</v>
      </c>
      <c r="Y5" s="201" t="s">
        <v>188</v>
      </c>
      <c r="Z5" s="201" t="s">
        <v>113</v>
      </c>
      <c r="AA5" s="201" t="s">
        <v>189</v>
      </c>
      <c r="AB5" s="201" t="s">
        <v>190</v>
      </c>
      <c r="AC5" s="201" t="s">
        <v>191</v>
      </c>
      <c r="AD5" s="201" t="s">
        <v>192</v>
      </c>
      <c r="AE5" s="201" t="s">
        <v>193</v>
      </c>
    </row>
    <row r="6" spans="1:31" s="47" customFormat="1" x14ac:dyDescent="0.25">
      <c r="A6" s="203">
        <v>1</v>
      </c>
      <c r="B6" s="203">
        <v>2</v>
      </c>
      <c r="C6" s="203">
        <v>3</v>
      </c>
      <c r="D6" s="203">
        <v>4</v>
      </c>
      <c r="E6" s="203">
        <v>5</v>
      </c>
      <c r="F6" s="203">
        <v>6</v>
      </c>
      <c r="G6" s="203">
        <v>7</v>
      </c>
      <c r="H6" s="203">
        <v>8</v>
      </c>
      <c r="I6" s="203">
        <v>9</v>
      </c>
      <c r="J6" s="203">
        <v>10</v>
      </c>
      <c r="K6" s="203">
        <v>11</v>
      </c>
      <c r="L6" s="203">
        <v>12</v>
      </c>
      <c r="M6" s="203">
        <v>13</v>
      </c>
      <c r="N6" s="203">
        <v>14</v>
      </c>
      <c r="O6" s="203">
        <v>15</v>
      </c>
      <c r="P6" s="203">
        <v>16</v>
      </c>
      <c r="Q6" s="203">
        <v>17</v>
      </c>
      <c r="R6" s="203">
        <v>18</v>
      </c>
      <c r="S6" s="203">
        <v>19</v>
      </c>
      <c r="T6" s="203">
        <v>20</v>
      </c>
      <c r="U6" s="203">
        <v>21</v>
      </c>
      <c r="V6" s="203">
        <v>22</v>
      </c>
      <c r="W6" s="203">
        <v>23</v>
      </c>
      <c r="X6" s="203">
        <v>24</v>
      </c>
      <c r="Y6" s="203">
        <v>25</v>
      </c>
      <c r="Z6" s="203">
        <v>26</v>
      </c>
      <c r="AA6" s="203">
        <v>27</v>
      </c>
      <c r="AB6" s="203">
        <v>28</v>
      </c>
      <c r="AC6" s="203">
        <v>29</v>
      </c>
      <c r="AD6" s="203">
        <v>30</v>
      </c>
      <c r="AE6" s="203">
        <v>31</v>
      </c>
    </row>
    <row r="7" spans="1:31" s="47" customFormat="1" x14ac:dyDescent="0.25">
      <c r="A7" s="210">
        <v>1</v>
      </c>
      <c r="B7" s="203"/>
      <c r="C7" s="211">
        <v>45027</v>
      </c>
      <c r="D7" s="203"/>
      <c r="E7" s="203">
        <v>1</v>
      </c>
      <c r="F7" s="203"/>
      <c r="G7" s="203"/>
      <c r="H7" s="203"/>
      <c r="I7" s="203"/>
      <c r="J7" s="203"/>
      <c r="K7" s="203">
        <v>1</v>
      </c>
      <c r="L7" s="203"/>
      <c r="M7" s="203"/>
      <c r="N7" s="203"/>
      <c r="O7" s="203"/>
      <c r="P7" s="203"/>
      <c r="Q7" s="203"/>
      <c r="R7" s="203"/>
      <c r="S7" s="203"/>
      <c r="T7" s="203"/>
      <c r="U7" s="203"/>
      <c r="V7" s="203"/>
      <c r="W7" s="203">
        <v>1</v>
      </c>
      <c r="X7" s="203"/>
      <c r="Y7" s="203"/>
      <c r="Z7" s="203"/>
      <c r="AA7" s="203">
        <v>1</v>
      </c>
      <c r="AB7" s="203"/>
      <c r="AC7" s="203"/>
      <c r="AD7" s="203">
        <v>1</v>
      </c>
      <c r="AE7" s="203"/>
    </row>
    <row r="8" spans="1:31" s="47" customFormat="1" x14ac:dyDescent="0.25">
      <c r="A8" s="210">
        <f>1+A7</f>
        <v>2</v>
      </c>
      <c r="B8" s="46"/>
      <c r="C8" s="211">
        <v>45062</v>
      </c>
      <c r="D8" s="46"/>
      <c r="E8" s="46">
        <v>1</v>
      </c>
      <c r="F8" s="204"/>
      <c r="G8" s="204"/>
      <c r="H8" s="204"/>
      <c r="I8" s="204"/>
      <c r="J8" s="204"/>
      <c r="K8" s="46">
        <v>1</v>
      </c>
      <c r="L8" s="204"/>
      <c r="M8" s="46"/>
      <c r="N8" s="46"/>
      <c r="O8" s="46"/>
      <c r="P8" s="46"/>
      <c r="Q8" s="46"/>
      <c r="R8" s="46"/>
      <c r="S8" s="46"/>
      <c r="T8" s="46"/>
      <c r="U8" s="46"/>
      <c r="V8" s="46"/>
      <c r="W8" s="46">
        <v>1</v>
      </c>
      <c r="X8" s="204"/>
      <c r="Y8" s="204"/>
      <c r="Z8" s="46"/>
      <c r="AA8" s="46">
        <v>1</v>
      </c>
      <c r="AB8" s="46"/>
      <c r="AC8" s="46"/>
      <c r="AD8" s="46">
        <v>1</v>
      </c>
      <c r="AE8" s="204"/>
    </row>
    <row r="9" spans="1:31" s="47" customFormat="1" x14ac:dyDescent="0.25">
      <c r="A9" s="210">
        <f>A8+1</f>
        <v>3</v>
      </c>
      <c r="B9" s="46"/>
      <c r="C9" s="211">
        <v>45071</v>
      </c>
      <c r="D9" s="46"/>
      <c r="E9" s="46">
        <v>1</v>
      </c>
      <c r="F9" s="204"/>
      <c r="G9" s="204"/>
      <c r="H9" s="204"/>
      <c r="I9" s="204"/>
      <c r="J9" s="204"/>
      <c r="K9" s="46">
        <v>1</v>
      </c>
      <c r="L9" s="204"/>
      <c r="M9" s="204"/>
      <c r="N9" s="204"/>
      <c r="O9" s="204"/>
      <c r="P9" s="204"/>
      <c r="Q9" s="204"/>
      <c r="R9" s="204"/>
      <c r="S9" s="204"/>
      <c r="T9" s="204"/>
      <c r="U9" s="204"/>
      <c r="V9" s="204"/>
      <c r="W9" s="46">
        <v>1</v>
      </c>
      <c r="X9" s="204"/>
      <c r="Y9" s="204"/>
      <c r="Z9" s="204"/>
      <c r="AA9" s="46">
        <v>1</v>
      </c>
      <c r="AB9" s="204"/>
      <c r="AC9" s="204"/>
      <c r="AD9" s="46">
        <v>1</v>
      </c>
      <c r="AE9" s="204"/>
    </row>
    <row r="10" spans="1:31" s="47" customFormat="1" x14ac:dyDescent="0.25">
      <c r="A10" s="210">
        <f t="shared" ref="A10:A16" si="0">A9+1</f>
        <v>4</v>
      </c>
      <c r="B10" s="46"/>
      <c r="C10" s="211">
        <v>45078</v>
      </c>
      <c r="D10" s="212"/>
      <c r="E10" s="46">
        <v>1</v>
      </c>
      <c r="F10" s="204"/>
      <c r="G10" s="204"/>
      <c r="H10" s="204"/>
      <c r="I10" s="204"/>
      <c r="J10" s="204"/>
      <c r="K10" s="46">
        <v>1</v>
      </c>
      <c r="L10" s="204"/>
      <c r="M10" s="204"/>
      <c r="N10" s="204"/>
      <c r="O10" s="204"/>
      <c r="P10" s="204"/>
      <c r="Q10" s="204"/>
      <c r="R10" s="204"/>
      <c r="S10" s="204"/>
      <c r="T10" s="204"/>
      <c r="U10" s="204"/>
      <c r="V10" s="204"/>
      <c r="W10" s="46">
        <v>1</v>
      </c>
      <c r="X10" s="204"/>
      <c r="Y10" s="204"/>
      <c r="Z10" s="204"/>
      <c r="AA10" s="46">
        <v>1</v>
      </c>
      <c r="AB10" s="204"/>
      <c r="AC10" s="204"/>
      <c r="AD10" s="46">
        <v>1</v>
      </c>
      <c r="AE10" s="204"/>
    </row>
    <row r="11" spans="1:31" s="47" customFormat="1" x14ac:dyDescent="0.25">
      <c r="A11" s="210">
        <f t="shared" si="0"/>
        <v>5</v>
      </c>
      <c r="B11" s="46"/>
      <c r="C11" s="211">
        <v>45107</v>
      </c>
      <c r="D11" s="212"/>
      <c r="E11" s="46">
        <v>1</v>
      </c>
      <c r="F11" s="204"/>
      <c r="G11" s="204"/>
      <c r="H11" s="204"/>
      <c r="I11" s="204"/>
      <c r="J11" s="204"/>
      <c r="K11" s="46">
        <v>1</v>
      </c>
      <c r="L11" s="204"/>
      <c r="M11" s="204"/>
      <c r="N11" s="204"/>
      <c r="O11" s="204"/>
      <c r="P11" s="204"/>
      <c r="Q11" s="204"/>
      <c r="R11" s="204"/>
      <c r="S11" s="204"/>
      <c r="T11" s="204"/>
      <c r="U11" s="204"/>
      <c r="V11" s="204"/>
      <c r="W11" s="46">
        <v>1</v>
      </c>
      <c r="X11" s="204"/>
      <c r="Y11" s="204"/>
      <c r="Z11" s="204"/>
      <c r="AA11" s="46">
        <v>1</v>
      </c>
      <c r="AB11" s="204"/>
      <c r="AC11" s="204"/>
      <c r="AD11" s="46">
        <v>1</v>
      </c>
      <c r="AE11" s="204"/>
    </row>
    <row r="12" spans="1:31" s="47" customFormat="1" x14ac:dyDescent="0.25">
      <c r="A12" s="210">
        <f t="shared" si="0"/>
        <v>6</v>
      </c>
      <c r="B12" s="46"/>
      <c r="C12" s="211">
        <v>45145</v>
      </c>
      <c r="D12" s="212"/>
      <c r="E12" s="46">
        <v>1</v>
      </c>
      <c r="F12" s="204"/>
      <c r="G12" s="204"/>
      <c r="H12" s="204"/>
      <c r="I12" s="204"/>
      <c r="J12" s="204"/>
      <c r="K12" s="46">
        <v>1</v>
      </c>
      <c r="L12" s="204"/>
      <c r="M12" s="204"/>
      <c r="N12" s="204"/>
      <c r="O12" s="204"/>
      <c r="P12" s="204"/>
      <c r="Q12" s="204"/>
      <c r="R12" s="204"/>
      <c r="S12" s="204"/>
      <c r="T12" s="204"/>
      <c r="U12" s="204"/>
      <c r="V12" s="204"/>
      <c r="W12" s="46">
        <v>1</v>
      </c>
      <c r="X12" s="204"/>
      <c r="Y12" s="204"/>
      <c r="Z12" s="204"/>
      <c r="AA12" s="46">
        <v>1</v>
      </c>
      <c r="AB12" s="204"/>
      <c r="AC12" s="204"/>
      <c r="AD12" s="46">
        <v>1</v>
      </c>
      <c r="AE12" s="204"/>
    </row>
    <row r="13" spans="1:31" s="47" customFormat="1" x14ac:dyDescent="0.25">
      <c r="A13" s="210">
        <f t="shared" si="0"/>
        <v>7</v>
      </c>
      <c r="B13" s="46"/>
      <c r="C13" s="211">
        <v>45161</v>
      </c>
      <c r="D13" s="212"/>
      <c r="E13" s="46">
        <v>1</v>
      </c>
      <c r="F13" s="204"/>
      <c r="G13" s="204"/>
      <c r="H13" s="204"/>
      <c r="I13" s="204"/>
      <c r="J13" s="204"/>
      <c r="K13" s="46">
        <v>1</v>
      </c>
      <c r="L13" s="204"/>
      <c r="M13" s="204"/>
      <c r="N13" s="204"/>
      <c r="O13" s="204"/>
      <c r="P13" s="204"/>
      <c r="Q13" s="204"/>
      <c r="R13" s="204"/>
      <c r="S13" s="204"/>
      <c r="T13" s="204"/>
      <c r="U13" s="204"/>
      <c r="V13" s="204"/>
      <c r="W13" s="46">
        <v>1</v>
      </c>
      <c r="X13" s="204"/>
      <c r="Y13" s="204"/>
      <c r="Z13" s="204"/>
      <c r="AA13" s="46">
        <v>1</v>
      </c>
      <c r="AB13" s="204"/>
      <c r="AC13" s="204"/>
      <c r="AD13" s="46">
        <v>1</v>
      </c>
      <c r="AE13" s="204"/>
    </row>
    <row r="14" spans="1:31" s="47" customFormat="1" x14ac:dyDescent="0.25">
      <c r="A14" s="210">
        <f t="shared" si="0"/>
        <v>8</v>
      </c>
      <c r="B14" s="46"/>
      <c r="C14" s="211">
        <v>45161</v>
      </c>
      <c r="D14" s="212"/>
      <c r="E14" s="46">
        <v>1</v>
      </c>
      <c r="F14" s="204"/>
      <c r="G14" s="204"/>
      <c r="H14" s="204"/>
      <c r="I14" s="204"/>
      <c r="J14" s="204"/>
      <c r="K14" s="46">
        <v>1</v>
      </c>
      <c r="L14" s="204"/>
      <c r="M14" s="204"/>
      <c r="N14" s="204"/>
      <c r="O14" s="204"/>
      <c r="P14" s="204"/>
      <c r="Q14" s="204"/>
      <c r="R14" s="204"/>
      <c r="S14" s="204"/>
      <c r="T14" s="204"/>
      <c r="U14" s="204"/>
      <c r="V14" s="204"/>
      <c r="W14" s="46">
        <v>1</v>
      </c>
      <c r="X14" s="204"/>
      <c r="Y14" s="204"/>
      <c r="Z14" s="204"/>
      <c r="AA14" s="46">
        <v>1</v>
      </c>
      <c r="AB14" s="204"/>
      <c r="AC14" s="204"/>
      <c r="AD14" s="46">
        <v>1</v>
      </c>
      <c r="AE14" s="204"/>
    </row>
    <row r="15" spans="1:31" s="47" customFormat="1" x14ac:dyDescent="0.25">
      <c r="A15" s="210">
        <f t="shared" si="0"/>
        <v>9</v>
      </c>
      <c r="B15" s="46"/>
      <c r="C15" s="211">
        <v>45196</v>
      </c>
      <c r="D15" s="212"/>
      <c r="E15" s="46">
        <v>1</v>
      </c>
      <c r="F15" s="204"/>
      <c r="G15" s="204"/>
      <c r="H15" s="204"/>
      <c r="I15" s="204"/>
      <c r="J15" s="204"/>
      <c r="K15" s="46">
        <v>1</v>
      </c>
      <c r="L15" s="204"/>
      <c r="M15" s="204"/>
      <c r="N15" s="204"/>
      <c r="O15" s="204"/>
      <c r="P15" s="204"/>
      <c r="Q15" s="204"/>
      <c r="R15" s="204"/>
      <c r="S15" s="204"/>
      <c r="T15" s="204"/>
      <c r="U15" s="204"/>
      <c r="V15" s="204"/>
      <c r="W15" s="46">
        <v>1</v>
      </c>
      <c r="X15" s="204"/>
      <c r="Y15" s="204"/>
      <c r="Z15" s="204"/>
      <c r="AA15" s="46">
        <v>1</v>
      </c>
      <c r="AB15" s="204"/>
      <c r="AC15" s="204"/>
      <c r="AD15" s="46">
        <v>1</v>
      </c>
      <c r="AE15" s="204"/>
    </row>
    <row r="16" spans="1:31" s="47" customFormat="1" x14ac:dyDescent="0.25">
      <c r="A16" s="210">
        <f t="shared" si="0"/>
        <v>10</v>
      </c>
      <c r="B16" s="46"/>
      <c r="C16" s="211">
        <v>45272</v>
      </c>
      <c r="D16" s="212"/>
      <c r="E16" s="46">
        <v>1</v>
      </c>
      <c r="F16" s="204"/>
      <c r="G16" s="204"/>
      <c r="H16" s="204"/>
      <c r="I16" s="204"/>
      <c r="J16" s="204"/>
      <c r="K16" s="46">
        <v>1</v>
      </c>
      <c r="L16" s="204"/>
      <c r="M16" s="204"/>
      <c r="N16" s="204"/>
      <c r="O16" s="204"/>
      <c r="P16" s="204"/>
      <c r="Q16" s="204"/>
      <c r="R16" s="204"/>
      <c r="S16" s="204"/>
      <c r="T16" s="204"/>
      <c r="U16" s="204"/>
      <c r="V16" s="204"/>
      <c r="W16" s="46">
        <v>1</v>
      </c>
      <c r="X16" s="204"/>
      <c r="Y16" s="204"/>
      <c r="Z16" s="204"/>
      <c r="AA16" s="46">
        <v>1</v>
      </c>
      <c r="AB16" s="204"/>
      <c r="AC16" s="204"/>
      <c r="AD16" s="46">
        <v>1</v>
      </c>
      <c r="AE16" s="204"/>
    </row>
    <row r="17" spans="5:5" s="47" customFormat="1" x14ac:dyDescent="0.25">
      <c r="E17" s="47">
        <f>SUM(E7:E16)</f>
        <v>10</v>
      </c>
    </row>
    <row r="18" spans="5:5" s="47" customFormat="1" x14ac:dyDescent="0.25"/>
  </sheetData>
  <mergeCells count="11">
    <mergeCell ref="A2:O2"/>
    <mergeCell ref="A4:A5"/>
    <mergeCell ref="AD4:AE4"/>
    <mergeCell ref="E4:I4"/>
    <mergeCell ref="J4:O4"/>
    <mergeCell ref="P4:V4"/>
    <mergeCell ref="W4:Z4"/>
    <mergeCell ref="AA4:AC4"/>
    <mergeCell ref="D4:D5"/>
    <mergeCell ref="C4:C5"/>
    <mergeCell ref="B4:B5"/>
  </mergeCells>
  <printOptions horizontalCentered="1"/>
  <pageMargins left="0.11811023622047245" right="0.11811023622047245" top="0.74803149606299213" bottom="0.74803149606299213" header="0.31496062992125984" footer="0.31496062992125984"/>
  <pageSetup paperSize="9" scale="88" orientation="landscape" r:id="rId1"/>
  <colBreaks count="1" manualBreakCount="1">
    <brk id="15" max="13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2:AO12"/>
  <sheetViews>
    <sheetView view="pageBreakPreview" zoomScale="70" zoomScaleNormal="60" zoomScaleSheetLayoutView="70" workbookViewId="0">
      <selection activeCell="F11" sqref="F11:I11"/>
    </sheetView>
  </sheetViews>
  <sheetFormatPr defaultRowHeight="13.2" x14ac:dyDescent="0.25"/>
  <cols>
    <col min="1" max="1" width="25.6640625" customWidth="1"/>
    <col min="2" max="3" width="5.88671875" customWidth="1"/>
    <col min="4" max="4" width="7.44140625" customWidth="1"/>
    <col min="5" max="6" width="6.6640625" customWidth="1"/>
    <col min="7" max="7" width="5.88671875" customWidth="1"/>
    <col min="8" max="9" width="7.5546875" customWidth="1"/>
    <col min="10" max="14" width="5.88671875" customWidth="1"/>
    <col min="15" max="41" width="7" customWidth="1"/>
  </cols>
  <sheetData>
    <row r="2" spans="1:41" ht="108" customHeight="1" x14ac:dyDescent="0.25">
      <c r="A2" s="120" t="s">
        <v>48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  <c r="AE2" s="120"/>
      <c r="AF2" s="120"/>
      <c r="AG2" s="120"/>
      <c r="AH2" s="120"/>
      <c r="AI2" s="120"/>
      <c r="AJ2" s="120"/>
      <c r="AK2" s="120"/>
      <c r="AL2" s="120"/>
      <c r="AM2" s="120"/>
      <c r="AN2" s="120"/>
      <c r="AO2" s="120"/>
    </row>
    <row r="3" spans="1:41" ht="2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41" ht="47.25" customHeight="1" x14ac:dyDescent="0.25">
      <c r="A4" s="119" t="s">
        <v>212</v>
      </c>
      <c r="B4" s="119"/>
      <c r="C4" s="119"/>
      <c r="D4" s="119"/>
      <c r="E4" s="119"/>
      <c r="F4" s="119"/>
      <c r="G4" s="119"/>
      <c r="H4" s="119"/>
      <c r="I4" s="119"/>
      <c r="J4" s="119"/>
      <c r="K4" s="119"/>
      <c r="L4" s="119"/>
      <c r="M4" s="119"/>
      <c r="N4" s="119"/>
      <c r="O4" s="119"/>
      <c r="P4" s="119"/>
      <c r="Q4" s="119"/>
      <c r="R4" s="119"/>
      <c r="S4" s="119"/>
      <c r="T4" s="119"/>
      <c r="U4" s="119"/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19"/>
      <c r="AK4" s="119"/>
      <c r="AL4" s="119"/>
      <c r="AM4" s="119"/>
      <c r="AN4" s="119"/>
      <c r="AO4" s="119"/>
    </row>
    <row r="5" spans="1:41" ht="14.4" x14ac:dyDescent="0.3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</row>
    <row r="6" spans="1:41" ht="36" customHeight="1" x14ac:dyDescent="0.25">
      <c r="A6" s="118" t="s">
        <v>6</v>
      </c>
      <c r="B6" s="117" t="s">
        <v>11</v>
      </c>
      <c r="C6" s="117"/>
      <c r="D6" s="117"/>
      <c r="E6" s="117"/>
      <c r="F6" s="117"/>
      <c r="G6" s="117"/>
      <c r="H6" s="117"/>
      <c r="I6" s="117"/>
      <c r="J6" s="117" t="s">
        <v>7</v>
      </c>
      <c r="K6" s="117"/>
      <c r="L6" s="117"/>
      <c r="M6" s="117"/>
      <c r="N6" s="117"/>
      <c r="O6" s="117"/>
      <c r="P6" s="117"/>
      <c r="Q6" s="117"/>
      <c r="R6" s="117" t="s">
        <v>8</v>
      </c>
      <c r="S6" s="117"/>
      <c r="T6" s="117"/>
      <c r="U6" s="117"/>
      <c r="V6" s="117"/>
      <c r="W6" s="117"/>
      <c r="X6" s="117"/>
      <c r="Y6" s="117"/>
      <c r="Z6" s="121" t="s">
        <v>9</v>
      </c>
      <c r="AA6" s="122"/>
      <c r="AB6" s="122"/>
      <c r="AC6" s="122"/>
      <c r="AD6" s="122"/>
      <c r="AE6" s="122"/>
      <c r="AF6" s="122"/>
      <c r="AG6" s="123"/>
      <c r="AH6" s="121" t="s">
        <v>10</v>
      </c>
      <c r="AI6" s="122"/>
      <c r="AJ6" s="122"/>
      <c r="AK6" s="122"/>
      <c r="AL6" s="122"/>
      <c r="AM6" s="122"/>
      <c r="AN6" s="122"/>
      <c r="AO6" s="123"/>
    </row>
    <row r="7" spans="1:41" ht="36" customHeight="1" x14ac:dyDescent="0.25">
      <c r="A7" s="118"/>
      <c r="B7" s="118">
        <v>2022</v>
      </c>
      <c r="C7" s="118"/>
      <c r="D7" s="118"/>
      <c r="E7" s="118"/>
      <c r="F7" s="118">
        <v>2023</v>
      </c>
      <c r="G7" s="118"/>
      <c r="H7" s="118"/>
      <c r="I7" s="118"/>
      <c r="J7" s="118">
        <v>2022</v>
      </c>
      <c r="K7" s="118"/>
      <c r="L7" s="118"/>
      <c r="M7" s="118"/>
      <c r="N7" s="118">
        <v>2023</v>
      </c>
      <c r="O7" s="118"/>
      <c r="P7" s="118"/>
      <c r="Q7" s="118"/>
      <c r="R7" s="118">
        <v>2022</v>
      </c>
      <c r="S7" s="118"/>
      <c r="T7" s="118"/>
      <c r="U7" s="118"/>
      <c r="V7" s="118">
        <v>2023</v>
      </c>
      <c r="W7" s="118"/>
      <c r="X7" s="118"/>
      <c r="Y7" s="118"/>
      <c r="Z7" s="118">
        <v>2022</v>
      </c>
      <c r="AA7" s="118"/>
      <c r="AB7" s="118"/>
      <c r="AC7" s="118"/>
      <c r="AD7" s="118">
        <v>2023</v>
      </c>
      <c r="AE7" s="118"/>
      <c r="AF7" s="118"/>
      <c r="AG7" s="118"/>
      <c r="AH7" s="118">
        <v>2022</v>
      </c>
      <c r="AI7" s="118"/>
      <c r="AJ7" s="118"/>
      <c r="AK7" s="118"/>
      <c r="AL7" s="118">
        <v>2023</v>
      </c>
      <c r="AM7" s="118"/>
      <c r="AN7" s="118"/>
      <c r="AO7" s="118"/>
    </row>
    <row r="8" spans="1:41" ht="36" customHeight="1" x14ac:dyDescent="0.25">
      <c r="A8" s="118"/>
      <c r="B8" s="4" t="s">
        <v>0</v>
      </c>
      <c r="C8" s="4" t="s">
        <v>16</v>
      </c>
      <c r="D8" s="4" t="s">
        <v>17</v>
      </c>
      <c r="E8" s="4" t="s">
        <v>1</v>
      </c>
      <c r="F8" s="4" t="s">
        <v>0</v>
      </c>
      <c r="G8" s="4" t="s">
        <v>16</v>
      </c>
      <c r="H8" s="4" t="s">
        <v>17</v>
      </c>
      <c r="I8" s="4" t="s">
        <v>1</v>
      </c>
      <c r="J8" s="4" t="s">
        <v>0</v>
      </c>
      <c r="K8" s="4" t="s">
        <v>16</v>
      </c>
      <c r="L8" s="4" t="s">
        <v>17</v>
      </c>
      <c r="M8" s="4" t="s">
        <v>1</v>
      </c>
      <c r="N8" s="4" t="s">
        <v>0</v>
      </c>
      <c r="O8" s="4" t="s">
        <v>16</v>
      </c>
      <c r="P8" s="4" t="s">
        <v>17</v>
      </c>
      <c r="Q8" s="4" t="s">
        <v>1</v>
      </c>
      <c r="R8" s="4" t="s">
        <v>0</v>
      </c>
      <c r="S8" s="4" t="s">
        <v>16</v>
      </c>
      <c r="T8" s="4" t="s">
        <v>17</v>
      </c>
      <c r="U8" s="4" t="s">
        <v>1</v>
      </c>
      <c r="V8" s="4" t="s">
        <v>0</v>
      </c>
      <c r="W8" s="4" t="s">
        <v>16</v>
      </c>
      <c r="X8" s="4" t="s">
        <v>17</v>
      </c>
      <c r="Y8" s="4" t="s">
        <v>1</v>
      </c>
      <c r="Z8" s="4" t="s">
        <v>0</v>
      </c>
      <c r="AA8" s="4" t="s">
        <v>16</v>
      </c>
      <c r="AB8" s="4" t="s">
        <v>17</v>
      </c>
      <c r="AC8" s="4" t="s">
        <v>1</v>
      </c>
      <c r="AD8" s="4" t="s">
        <v>0</v>
      </c>
      <c r="AE8" s="4" t="s">
        <v>16</v>
      </c>
      <c r="AF8" s="4" t="s">
        <v>17</v>
      </c>
      <c r="AG8" s="4" t="s">
        <v>1</v>
      </c>
      <c r="AH8" s="4" t="s">
        <v>0</v>
      </c>
      <c r="AI8" s="4" t="s">
        <v>16</v>
      </c>
      <c r="AJ8" s="4" t="s">
        <v>17</v>
      </c>
      <c r="AK8" s="4" t="s">
        <v>1</v>
      </c>
      <c r="AL8" s="4" t="s">
        <v>0</v>
      </c>
      <c r="AM8" s="4" t="s">
        <v>16</v>
      </c>
      <c r="AN8" s="4" t="s">
        <v>17</v>
      </c>
      <c r="AO8" s="4" t="s">
        <v>1</v>
      </c>
    </row>
    <row r="9" spans="1:41" ht="108" customHeight="1" x14ac:dyDescent="0.25">
      <c r="A9" s="5" t="s">
        <v>12</v>
      </c>
      <c r="B9" s="52">
        <f>'1.Общая инф'!D50</f>
        <v>0</v>
      </c>
      <c r="C9" s="52">
        <f>'1.Общая инф'!E50</f>
        <v>97</v>
      </c>
      <c r="D9" s="52">
        <f>'1.Общая инф'!F50</f>
        <v>97</v>
      </c>
      <c r="E9" s="52">
        <f>'1.Общая инф'!G50</f>
        <v>97</v>
      </c>
      <c r="F9" s="52">
        <v>25</v>
      </c>
      <c r="G9" s="52">
        <v>30</v>
      </c>
      <c r="H9" s="52">
        <v>32</v>
      </c>
      <c r="I9" s="52">
        <v>15</v>
      </c>
      <c r="J9" s="6" t="s">
        <v>5</v>
      </c>
      <c r="K9" s="6" t="s">
        <v>5</v>
      </c>
      <c r="L9" s="6" t="s">
        <v>5</v>
      </c>
      <c r="M9" s="6" t="s">
        <v>5</v>
      </c>
      <c r="N9" s="6" t="s">
        <v>5</v>
      </c>
      <c r="O9" s="6" t="s">
        <v>5</v>
      </c>
      <c r="P9" s="6" t="s">
        <v>5</v>
      </c>
      <c r="Q9" s="6" t="s">
        <v>5</v>
      </c>
      <c r="R9" s="6" t="s">
        <v>5</v>
      </c>
      <c r="S9" s="6" t="s">
        <v>5</v>
      </c>
      <c r="T9" s="6" t="s">
        <v>5</v>
      </c>
      <c r="U9" s="6" t="s">
        <v>5</v>
      </c>
      <c r="V9" s="6" t="s">
        <v>5</v>
      </c>
      <c r="W9" s="6" t="s">
        <v>5</v>
      </c>
      <c r="X9" s="6" t="s">
        <v>5</v>
      </c>
      <c r="Y9" s="6" t="s">
        <v>5</v>
      </c>
      <c r="Z9" s="6" t="s">
        <v>5</v>
      </c>
      <c r="AA9" s="6" t="s">
        <v>5</v>
      </c>
      <c r="AB9" s="6" t="s">
        <v>5</v>
      </c>
      <c r="AC9" s="6" t="s">
        <v>5</v>
      </c>
      <c r="AD9" s="6" t="s">
        <v>5</v>
      </c>
      <c r="AE9" s="6" t="s">
        <v>5</v>
      </c>
      <c r="AF9" s="6" t="s">
        <v>5</v>
      </c>
      <c r="AG9" s="6" t="s">
        <v>5</v>
      </c>
      <c r="AH9" s="6" t="s">
        <v>5</v>
      </c>
      <c r="AI9" s="6" t="s">
        <v>5</v>
      </c>
      <c r="AJ9" s="6" t="s">
        <v>5</v>
      </c>
      <c r="AK9" s="6" t="s">
        <v>5</v>
      </c>
      <c r="AL9" s="6" t="s">
        <v>5</v>
      </c>
      <c r="AM9" s="6" t="s">
        <v>5</v>
      </c>
      <c r="AN9" s="6" t="s">
        <v>5</v>
      </c>
      <c r="AO9" s="6" t="s">
        <v>5</v>
      </c>
    </row>
    <row r="10" spans="1:41" ht="41.25" customHeight="1" x14ac:dyDescent="0.25">
      <c r="A10" s="5" t="s">
        <v>13</v>
      </c>
      <c r="B10" s="52">
        <f>B9</f>
        <v>0</v>
      </c>
      <c r="C10" s="52">
        <f t="shared" ref="C10:E10" si="0">C9</f>
        <v>97</v>
      </c>
      <c r="D10" s="52">
        <f t="shared" si="0"/>
        <v>97</v>
      </c>
      <c r="E10" s="52">
        <f t="shared" si="0"/>
        <v>97</v>
      </c>
      <c r="F10" s="52">
        <v>25</v>
      </c>
      <c r="G10" s="52">
        <v>30</v>
      </c>
      <c r="H10" s="52">
        <v>32</v>
      </c>
      <c r="I10" s="52">
        <v>15</v>
      </c>
      <c r="J10" s="6" t="s">
        <v>5</v>
      </c>
      <c r="K10" s="6" t="s">
        <v>5</v>
      </c>
      <c r="L10" s="6" t="s">
        <v>5</v>
      </c>
      <c r="M10" s="6" t="s">
        <v>5</v>
      </c>
      <c r="N10" s="6" t="s">
        <v>5</v>
      </c>
      <c r="O10" s="6" t="s">
        <v>5</v>
      </c>
      <c r="P10" s="6" t="s">
        <v>5</v>
      </c>
      <c r="Q10" s="6" t="s">
        <v>5</v>
      </c>
      <c r="R10" s="6" t="s">
        <v>5</v>
      </c>
      <c r="S10" s="6" t="s">
        <v>5</v>
      </c>
      <c r="T10" s="6" t="s">
        <v>5</v>
      </c>
      <c r="U10" s="6" t="s">
        <v>5</v>
      </c>
      <c r="V10" s="6" t="s">
        <v>5</v>
      </c>
      <c r="W10" s="6" t="s">
        <v>5</v>
      </c>
      <c r="X10" s="6" t="s">
        <v>5</v>
      </c>
      <c r="Y10" s="6" t="s">
        <v>5</v>
      </c>
      <c r="Z10" s="6" t="s">
        <v>5</v>
      </c>
      <c r="AA10" s="6" t="s">
        <v>5</v>
      </c>
      <c r="AB10" s="6" t="s">
        <v>5</v>
      </c>
      <c r="AC10" s="6" t="s">
        <v>5</v>
      </c>
      <c r="AD10" s="6" t="s">
        <v>5</v>
      </c>
      <c r="AE10" s="6" t="s">
        <v>5</v>
      </c>
      <c r="AF10" s="6" t="s">
        <v>5</v>
      </c>
      <c r="AG10" s="6" t="s">
        <v>5</v>
      </c>
      <c r="AH10" s="6" t="s">
        <v>5</v>
      </c>
      <c r="AI10" s="6" t="s">
        <v>5</v>
      </c>
      <c r="AJ10" s="6" t="s">
        <v>5</v>
      </c>
      <c r="AK10" s="6" t="s">
        <v>5</v>
      </c>
      <c r="AL10" s="6" t="s">
        <v>5</v>
      </c>
      <c r="AM10" s="6" t="s">
        <v>5</v>
      </c>
      <c r="AN10" s="6" t="s">
        <v>5</v>
      </c>
      <c r="AO10" s="6" t="s">
        <v>5</v>
      </c>
    </row>
    <row r="11" spans="1:41" ht="90.75" customHeight="1" x14ac:dyDescent="0.25">
      <c r="A11" s="5" t="s">
        <v>14</v>
      </c>
      <c r="B11" s="116" t="s">
        <v>15</v>
      </c>
      <c r="C11" s="116"/>
      <c r="D11" s="116"/>
      <c r="E11" s="116"/>
      <c r="F11" s="116" t="s">
        <v>15</v>
      </c>
      <c r="G11" s="116"/>
      <c r="H11" s="116"/>
      <c r="I11" s="116"/>
      <c r="J11" s="6" t="s">
        <v>5</v>
      </c>
      <c r="K11" s="6" t="s">
        <v>5</v>
      </c>
      <c r="L11" s="6" t="s">
        <v>5</v>
      </c>
      <c r="M11" s="6" t="s">
        <v>5</v>
      </c>
      <c r="N11" s="6" t="s">
        <v>5</v>
      </c>
      <c r="O11" s="6" t="s">
        <v>5</v>
      </c>
      <c r="P11" s="6" t="s">
        <v>5</v>
      </c>
      <c r="Q11" s="6" t="s">
        <v>5</v>
      </c>
      <c r="R11" s="6" t="s">
        <v>5</v>
      </c>
      <c r="S11" s="6" t="s">
        <v>5</v>
      </c>
      <c r="T11" s="6" t="s">
        <v>5</v>
      </c>
      <c r="U11" s="6" t="s">
        <v>5</v>
      </c>
      <c r="V11" s="6" t="s">
        <v>5</v>
      </c>
      <c r="W11" s="6" t="s">
        <v>5</v>
      </c>
      <c r="X11" s="6" t="s">
        <v>5</v>
      </c>
      <c r="Y11" s="6" t="s">
        <v>5</v>
      </c>
      <c r="Z11" s="6" t="s">
        <v>5</v>
      </c>
      <c r="AA11" s="6" t="s">
        <v>5</v>
      </c>
      <c r="AB11" s="6" t="s">
        <v>5</v>
      </c>
      <c r="AC11" s="6" t="s">
        <v>5</v>
      </c>
      <c r="AD11" s="6" t="s">
        <v>5</v>
      </c>
      <c r="AE11" s="6" t="s">
        <v>5</v>
      </c>
      <c r="AF11" s="6" t="s">
        <v>5</v>
      </c>
      <c r="AG11" s="6" t="s">
        <v>5</v>
      </c>
      <c r="AH11" s="6" t="s">
        <v>5</v>
      </c>
      <c r="AI11" s="6" t="s">
        <v>5</v>
      </c>
      <c r="AJ11" s="6" t="s">
        <v>5</v>
      </c>
      <c r="AK11" s="6" t="s">
        <v>5</v>
      </c>
      <c r="AL11" s="6" t="s">
        <v>5</v>
      </c>
      <c r="AM11" s="6" t="s">
        <v>5</v>
      </c>
      <c r="AN11" s="6" t="s">
        <v>5</v>
      </c>
      <c r="AO11" s="6" t="s">
        <v>5</v>
      </c>
    </row>
    <row r="12" spans="1:41" ht="59.25" customHeight="1" x14ac:dyDescent="0.25">
      <c r="A12" s="5" t="s">
        <v>13</v>
      </c>
      <c r="B12" s="116" t="s">
        <v>15</v>
      </c>
      <c r="C12" s="116"/>
      <c r="D12" s="116"/>
      <c r="E12" s="116"/>
      <c r="F12" s="116" t="s">
        <v>15</v>
      </c>
      <c r="G12" s="116"/>
      <c r="H12" s="116"/>
      <c r="I12" s="116"/>
      <c r="J12" s="6" t="s">
        <v>5</v>
      </c>
      <c r="K12" s="6" t="s">
        <v>5</v>
      </c>
      <c r="L12" s="6" t="s">
        <v>5</v>
      </c>
      <c r="M12" s="6" t="s">
        <v>5</v>
      </c>
      <c r="N12" s="6" t="s">
        <v>5</v>
      </c>
      <c r="O12" s="6" t="s">
        <v>5</v>
      </c>
      <c r="P12" s="6" t="s">
        <v>5</v>
      </c>
      <c r="Q12" s="6" t="s">
        <v>5</v>
      </c>
      <c r="R12" s="6" t="s">
        <v>5</v>
      </c>
      <c r="S12" s="6" t="s">
        <v>5</v>
      </c>
      <c r="T12" s="6" t="s">
        <v>5</v>
      </c>
      <c r="U12" s="6" t="s">
        <v>5</v>
      </c>
      <c r="V12" s="6" t="s">
        <v>5</v>
      </c>
      <c r="W12" s="6" t="s">
        <v>5</v>
      </c>
      <c r="X12" s="6" t="s">
        <v>5</v>
      </c>
      <c r="Y12" s="6" t="s">
        <v>5</v>
      </c>
      <c r="Z12" s="6" t="s">
        <v>5</v>
      </c>
      <c r="AA12" s="6" t="s">
        <v>5</v>
      </c>
      <c r="AB12" s="6" t="s">
        <v>5</v>
      </c>
      <c r="AC12" s="6" t="s">
        <v>5</v>
      </c>
      <c r="AD12" s="6" t="s">
        <v>5</v>
      </c>
      <c r="AE12" s="6" t="s">
        <v>5</v>
      </c>
      <c r="AF12" s="6" t="s">
        <v>5</v>
      </c>
      <c r="AG12" s="6" t="s">
        <v>5</v>
      </c>
      <c r="AH12" s="6" t="s">
        <v>5</v>
      </c>
      <c r="AI12" s="6" t="s">
        <v>5</v>
      </c>
      <c r="AJ12" s="6" t="s">
        <v>5</v>
      </c>
      <c r="AK12" s="6" t="s">
        <v>5</v>
      </c>
      <c r="AL12" s="6" t="s">
        <v>5</v>
      </c>
      <c r="AM12" s="6" t="s">
        <v>5</v>
      </c>
      <c r="AN12" s="6" t="s">
        <v>5</v>
      </c>
      <c r="AO12" s="6" t="s">
        <v>5</v>
      </c>
    </row>
  </sheetData>
  <mergeCells count="22">
    <mergeCell ref="J6:Q6"/>
    <mergeCell ref="J7:M7"/>
    <mergeCell ref="A4:AO4"/>
    <mergeCell ref="A2:AO2"/>
    <mergeCell ref="A6:A8"/>
    <mergeCell ref="F7:I7"/>
    <mergeCell ref="N7:Q7"/>
    <mergeCell ref="AH6:AO6"/>
    <mergeCell ref="AH7:AK7"/>
    <mergeCell ref="AL7:AO7"/>
    <mergeCell ref="R6:Y6"/>
    <mergeCell ref="R7:U7"/>
    <mergeCell ref="V7:Y7"/>
    <mergeCell ref="Z6:AG6"/>
    <mergeCell ref="Z7:AC7"/>
    <mergeCell ref="AD7:AG7"/>
    <mergeCell ref="B11:E11"/>
    <mergeCell ref="B12:E12"/>
    <mergeCell ref="F11:I11"/>
    <mergeCell ref="F12:I12"/>
    <mergeCell ref="B6:I6"/>
    <mergeCell ref="B7:E7"/>
  </mergeCells>
  <printOptions horizontalCentered="1"/>
  <pageMargins left="0.11811023622047245" right="0.11811023622047245" top="0.74803149606299213" bottom="0.35433070866141736" header="0.31496062992125984" footer="0"/>
  <pageSetup paperSize="9" scale="4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view="pageBreakPreview" topLeftCell="A28" zoomScaleNormal="90" zoomScaleSheetLayoutView="100" workbookViewId="0">
      <selection activeCell="D30" sqref="D30"/>
    </sheetView>
  </sheetViews>
  <sheetFormatPr defaultRowHeight="13.2" x14ac:dyDescent="0.25"/>
  <cols>
    <col min="1" max="1" width="6.88671875" style="22" customWidth="1"/>
    <col min="2" max="2" width="44.88671875" customWidth="1"/>
    <col min="3" max="3" width="13.5546875" customWidth="1"/>
    <col min="4" max="4" width="14.44140625" customWidth="1"/>
    <col min="5" max="5" width="15.5546875" customWidth="1"/>
  </cols>
  <sheetData>
    <row r="1" spans="1:10" ht="10.5" customHeight="1" x14ac:dyDescent="0.25"/>
    <row r="2" spans="1:10" hidden="1" x14ac:dyDescent="0.25"/>
    <row r="3" spans="1:10" hidden="1" x14ac:dyDescent="0.25"/>
    <row r="4" spans="1:10" ht="18" x14ac:dyDescent="0.35">
      <c r="A4" s="124" t="s">
        <v>47</v>
      </c>
      <c r="B4" s="124"/>
      <c r="C4" s="124"/>
      <c r="D4" s="124"/>
      <c r="E4" s="124"/>
      <c r="F4" s="23"/>
      <c r="G4" s="23"/>
      <c r="H4" s="23"/>
      <c r="I4" s="23"/>
      <c r="J4" s="23"/>
    </row>
    <row r="5" spans="1:10" ht="6.75" customHeight="1" x14ac:dyDescent="0.25"/>
    <row r="7" spans="1:10" ht="54" customHeight="1" x14ac:dyDescent="0.25">
      <c r="A7" s="125" t="s">
        <v>49</v>
      </c>
      <c r="B7" s="125"/>
      <c r="C7" s="125"/>
      <c r="D7" s="125"/>
      <c r="E7" s="125"/>
    </row>
    <row r="8" spans="1:10" ht="14.4" x14ac:dyDescent="0.3">
      <c r="A8" s="20"/>
      <c r="B8" s="8"/>
      <c r="C8" s="8"/>
      <c r="D8" s="8"/>
      <c r="E8" s="8"/>
    </row>
    <row r="9" spans="1:10" ht="15.6" x14ac:dyDescent="0.25">
      <c r="A9" s="126" t="s">
        <v>50</v>
      </c>
      <c r="B9" s="127" t="s">
        <v>6</v>
      </c>
      <c r="C9" s="129" t="s">
        <v>18</v>
      </c>
      <c r="D9" s="129"/>
      <c r="E9" s="129"/>
    </row>
    <row r="10" spans="1:10" ht="60" customHeight="1" x14ac:dyDescent="0.25">
      <c r="A10" s="126"/>
      <c r="B10" s="128"/>
      <c r="C10" s="10">
        <v>2022</v>
      </c>
      <c r="D10" s="10">
        <v>2023</v>
      </c>
      <c r="E10" s="10" t="s">
        <v>19</v>
      </c>
    </row>
    <row r="11" spans="1:10" ht="15.6" x14ac:dyDescent="0.25">
      <c r="A11" s="10">
        <v>1</v>
      </c>
      <c r="B11" s="9">
        <v>2</v>
      </c>
      <c r="C11" s="9">
        <v>3</v>
      </c>
      <c r="D11" s="11">
        <v>4</v>
      </c>
      <c r="E11" s="11">
        <v>5</v>
      </c>
    </row>
    <row r="12" spans="1:10" ht="56.25" customHeight="1" x14ac:dyDescent="0.25">
      <c r="A12" s="10">
        <v>1</v>
      </c>
      <c r="B12" s="12" t="s">
        <v>20</v>
      </c>
      <c r="C12" s="19">
        <v>0</v>
      </c>
      <c r="D12" s="19">
        <v>0</v>
      </c>
      <c r="E12" s="24"/>
    </row>
    <row r="13" spans="1:10" ht="21.75" customHeight="1" x14ac:dyDescent="0.25">
      <c r="A13" s="21" t="s">
        <v>21</v>
      </c>
      <c r="B13" s="14" t="s">
        <v>22</v>
      </c>
      <c r="C13" s="19">
        <v>0</v>
      </c>
      <c r="D13" s="19">
        <v>0</v>
      </c>
      <c r="E13" s="15"/>
    </row>
    <row r="14" spans="1:10" ht="21.75" customHeight="1" x14ac:dyDescent="0.25">
      <c r="A14" s="21" t="s">
        <v>23</v>
      </c>
      <c r="B14" s="14" t="s">
        <v>24</v>
      </c>
      <c r="C14" s="19">
        <v>0</v>
      </c>
      <c r="D14" s="19">
        <v>0</v>
      </c>
      <c r="E14" s="15"/>
    </row>
    <row r="15" spans="1:10" ht="21.75" customHeight="1" x14ac:dyDescent="0.25">
      <c r="A15" s="21" t="s">
        <v>25</v>
      </c>
      <c r="B15" s="14" t="s">
        <v>26</v>
      </c>
      <c r="C15" s="19">
        <v>0</v>
      </c>
      <c r="D15" s="19">
        <v>0</v>
      </c>
      <c r="E15" s="15"/>
    </row>
    <row r="16" spans="1:10" ht="21.75" customHeight="1" x14ac:dyDescent="0.25">
      <c r="A16" s="21" t="s">
        <v>27</v>
      </c>
      <c r="B16" s="14" t="s">
        <v>28</v>
      </c>
      <c r="C16" s="19">
        <v>0</v>
      </c>
      <c r="D16" s="19">
        <v>0</v>
      </c>
      <c r="E16" s="55">
        <v>0</v>
      </c>
    </row>
    <row r="17" spans="1:5" ht="39" customHeight="1" x14ac:dyDescent="0.25">
      <c r="A17" s="10">
        <v>2</v>
      </c>
      <c r="B17" s="13" t="s">
        <v>29</v>
      </c>
      <c r="C17" s="19">
        <v>0</v>
      </c>
      <c r="D17" s="19">
        <v>0</v>
      </c>
      <c r="E17" s="50"/>
    </row>
    <row r="18" spans="1:5" ht="21.75" customHeight="1" x14ac:dyDescent="0.25">
      <c r="A18" s="21" t="s">
        <v>30</v>
      </c>
      <c r="B18" s="14" t="s">
        <v>22</v>
      </c>
      <c r="C18" s="19">
        <v>0</v>
      </c>
      <c r="D18" s="19">
        <v>0</v>
      </c>
      <c r="E18" s="49"/>
    </row>
    <row r="19" spans="1:5" ht="21.75" customHeight="1" x14ac:dyDescent="0.25">
      <c r="A19" s="21" t="s">
        <v>31</v>
      </c>
      <c r="B19" s="14" t="s">
        <v>24</v>
      </c>
      <c r="C19" s="19">
        <v>0</v>
      </c>
      <c r="D19" s="19">
        <v>0</v>
      </c>
      <c r="E19" s="49"/>
    </row>
    <row r="20" spans="1:5" ht="21.75" customHeight="1" x14ac:dyDescent="0.25">
      <c r="A20" s="21" t="s">
        <v>32</v>
      </c>
      <c r="B20" s="14" t="s">
        <v>26</v>
      </c>
      <c r="C20" s="19">
        <v>0</v>
      </c>
      <c r="D20" s="19">
        <v>0</v>
      </c>
      <c r="E20" s="49"/>
    </row>
    <row r="21" spans="1:5" ht="21.75" customHeight="1" x14ac:dyDescent="0.25">
      <c r="A21" s="21" t="s">
        <v>33</v>
      </c>
      <c r="B21" s="14" t="s">
        <v>28</v>
      </c>
      <c r="C21" s="19">
        <v>0</v>
      </c>
      <c r="D21" s="19">
        <v>0</v>
      </c>
      <c r="E21" s="55">
        <v>0</v>
      </c>
    </row>
    <row r="22" spans="1:5" ht="131.25" customHeight="1" x14ac:dyDescent="0.25">
      <c r="A22" s="10">
        <v>3</v>
      </c>
      <c r="B22" s="12" t="s">
        <v>34</v>
      </c>
      <c r="C22" s="160" t="s">
        <v>213</v>
      </c>
      <c r="D22" s="161"/>
      <c r="E22" s="162"/>
    </row>
    <row r="23" spans="1:5" ht="21.75" customHeight="1" x14ac:dyDescent="0.25">
      <c r="A23" s="21" t="s">
        <v>35</v>
      </c>
      <c r="B23" s="14" t="s">
        <v>22</v>
      </c>
      <c r="C23" s="17"/>
      <c r="D23" s="17"/>
      <c r="E23" s="15"/>
    </row>
    <row r="24" spans="1:5" ht="21.75" customHeight="1" x14ac:dyDescent="0.25">
      <c r="A24" s="21" t="s">
        <v>36</v>
      </c>
      <c r="B24" s="14" t="s">
        <v>24</v>
      </c>
      <c r="C24" s="17"/>
      <c r="D24" s="17"/>
      <c r="E24" s="15"/>
    </row>
    <row r="25" spans="1:5" ht="21.75" customHeight="1" x14ac:dyDescent="0.25">
      <c r="A25" s="21" t="s">
        <v>37</v>
      </c>
      <c r="B25" s="14" t="s">
        <v>26</v>
      </c>
      <c r="C25" s="163"/>
      <c r="D25" s="163"/>
      <c r="E25" s="163"/>
    </row>
    <row r="26" spans="1:5" ht="26.25" customHeight="1" x14ac:dyDescent="0.25">
      <c r="A26" s="21" t="s">
        <v>38</v>
      </c>
      <c r="B26" s="14" t="s">
        <v>28</v>
      </c>
      <c r="C26" s="163"/>
      <c r="D26" s="163"/>
      <c r="E26" s="163"/>
    </row>
    <row r="27" spans="1:5" ht="120.75" customHeight="1" x14ac:dyDescent="0.25">
      <c r="A27" s="10">
        <v>4</v>
      </c>
      <c r="B27" s="12" t="s">
        <v>39</v>
      </c>
      <c r="C27" s="160" t="s">
        <v>213</v>
      </c>
      <c r="D27" s="161"/>
      <c r="E27" s="162"/>
    </row>
    <row r="28" spans="1:5" ht="21.75" customHeight="1" x14ac:dyDescent="0.25">
      <c r="A28" s="21" t="s">
        <v>40</v>
      </c>
      <c r="B28" s="14" t="s">
        <v>22</v>
      </c>
      <c r="C28" s="16"/>
      <c r="D28" s="17"/>
      <c r="E28" s="15"/>
    </row>
    <row r="29" spans="1:5" ht="21.75" customHeight="1" x14ac:dyDescent="0.25">
      <c r="A29" s="21" t="s">
        <v>41</v>
      </c>
      <c r="B29" s="14" t="s">
        <v>24</v>
      </c>
      <c r="C29" s="16"/>
      <c r="D29" s="17"/>
      <c r="E29" s="15"/>
    </row>
    <row r="30" spans="1:5" ht="21.75" customHeight="1" x14ac:dyDescent="0.25">
      <c r="A30" s="21" t="s">
        <v>42</v>
      </c>
      <c r="B30" s="14" t="s">
        <v>26</v>
      </c>
      <c r="C30" s="163"/>
      <c r="D30" s="163"/>
      <c r="E30" s="163"/>
    </row>
    <row r="31" spans="1:5" ht="25.5" customHeight="1" x14ac:dyDescent="0.25">
      <c r="A31" s="21" t="s">
        <v>43</v>
      </c>
      <c r="B31" s="14" t="s">
        <v>28</v>
      </c>
      <c r="C31" s="163"/>
      <c r="D31" s="163"/>
      <c r="E31" s="163"/>
    </row>
    <row r="32" spans="1:5" ht="68.25" customHeight="1" x14ac:dyDescent="0.25">
      <c r="A32" s="10">
        <v>5</v>
      </c>
      <c r="B32" s="12" t="s">
        <v>44</v>
      </c>
      <c r="C32" s="18">
        <v>0</v>
      </c>
      <c r="D32" s="10">
        <v>0</v>
      </c>
      <c r="E32" s="18">
        <v>0</v>
      </c>
    </row>
    <row r="33" spans="1:5" ht="83.25" customHeight="1" x14ac:dyDescent="0.25">
      <c r="A33" s="21" t="s">
        <v>45</v>
      </c>
      <c r="B33" s="12" t="s">
        <v>46</v>
      </c>
      <c r="C33" s="18">
        <v>0</v>
      </c>
      <c r="D33" s="10">
        <v>0</v>
      </c>
      <c r="E33" s="54">
        <v>0</v>
      </c>
    </row>
  </sheetData>
  <mergeCells count="7">
    <mergeCell ref="A4:E4"/>
    <mergeCell ref="A7:E7"/>
    <mergeCell ref="A9:A10"/>
    <mergeCell ref="B9:B10"/>
    <mergeCell ref="C9:E9"/>
    <mergeCell ref="C27:E27"/>
    <mergeCell ref="C22:E22"/>
  </mergeCells>
  <printOptions horizontalCentered="1"/>
  <pageMargins left="0.9055118110236221" right="0.11811023622047245" top="0.35433070866141736" bottom="0.35433070866141736" header="0" footer="0"/>
  <pageSetup paperSize="9" scale="93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12"/>
  <sheetViews>
    <sheetView view="pageBreakPreview" zoomScale="90" zoomScaleNormal="70" zoomScaleSheetLayoutView="90" workbookViewId="0">
      <selection activeCell="S10" sqref="S10"/>
    </sheetView>
  </sheetViews>
  <sheetFormatPr defaultRowHeight="13.2" x14ac:dyDescent="0.25"/>
  <cols>
    <col min="2" max="2" width="12.109375" customWidth="1"/>
    <col min="8" max="8" width="8.44140625" customWidth="1"/>
    <col min="10" max="10" width="8.5546875" customWidth="1"/>
    <col min="19" max="19" width="30.44140625" customWidth="1"/>
    <col min="20" max="20" width="24.88671875" customWidth="1"/>
  </cols>
  <sheetData>
    <row r="3" spans="1:20" ht="15.6" x14ac:dyDescent="0.25">
      <c r="A3" s="133" t="s">
        <v>59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</row>
    <row r="4" spans="1:20" ht="14.4" x14ac:dyDescent="0.3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</row>
    <row r="5" spans="1:20" ht="65.25" customHeight="1" x14ac:dyDescent="0.25">
      <c r="A5" s="129" t="s">
        <v>50</v>
      </c>
      <c r="B5" s="129" t="s">
        <v>51</v>
      </c>
      <c r="C5" s="129" t="s">
        <v>52</v>
      </c>
      <c r="D5" s="134"/>
      <c r="E5" s="134"/>
      <c r="F5" s="134"/>
      <c r="G5" s="129" t="s">
        <v>53</v>
      </c>
      <c r="H5" s="129"/>
      <c r="I5" s="129"/>
      <c r="J5" s="129"/>
      <c r="K5" s="129" t="s">
        <v>54</v>
      </c>
      <c r="L5" s="129"/>
      <c r="M5" s="129"/>
      <c r="N5" s="129"/>
      <c r="O5" s="129" t="s">
        <v>55</v>
      </c>
      <c r="P5" s="129"/>
      <c r="Q5" s="129"/>
      <c r="R5" s="129"/>
      <c r="S5" s="129" t="s">
        <v>56</v>
      </c>
      <c r="T5" s="129" t="s">
        <v>57</v>
      </c>
    </row>
    <row r="6" spans="1:20" ht="141.75" customHeight="1" x14ac:dyDescent="0.25">
      <c r="A6" s="129"/>
      <c r="B6" s="129"/>
      <c r="C6" s="134"/>
      <c r="D6" s="134"/>
      <c r="E6" s="134"/>
      <c r="F6" s="134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</row>
    <row r="7" spans="1:20" ht="17.25" customHeight="1" x14ac:dyDescent="0.25">
      <c r="A7" s="129"/>
      <c r="B7" s="129"/>
      <c r="C7" s="9" t="s">
        <v>0</v>
      </c>
      <c r="D7" s="9" t="s">
        <v>16</v>
      </c>
      <c r="E7" s="9" t="s">
        <v>17</v>
      </c>
      <c r="F7" s="9" t="s">
        <v>1</v>
      </c>
      <c r="G7" s="9" t="s">
        <v>0</v>
      </c>
      <c r="H7" s="9" t="s">
        <v>16</v>
      </c>
      <c r="I7" s="9" t="s">
        <v>17</v>
      </c>
      <c r="J7" s="9" t="s">
        <v>1</v>
      </c>
      <c r="K7" s="9" t="s">
        <v>0</v>
      </c>
      <c r="L7" s="9" t="s">
        <v>16</v>
      </c>
      <c r="M7" s="9" t="s">
        <v>17</v>
      </c>
      <c r="N7" s="9" t="s">
        <v>1</v>
      </c>
      <c r="O7" s="9" t="s">
        <v>0</v>
      </c>
      <c r="P7" s="9" t="s">
        <v>16</v>
      </c>
      <c r="Q7" s="9" t="s">
        <v>17</v>
      </c>
      <c r="R7" s="9" t="s">
        <v>1</v>
      </c>
      <c r="S7" s="129"/>
      <c r="T7" s="129"/>
    </row>
    <row r="8" spans="1:20" ht="15.6" x14ac:dyDescent="0.25">
      <c r="A8" s="9">
        <v>1</v>
      </c>
      <c r="B8" s="9">
        <v>2</v>
      </c>
      <c r="C8" s="9">
        <v>3</v>
      </c>
      <c r="D8" s="9">
        <v>4</v>
      </c>
      <c r="E8" s="9">
        <v>5</v>
      </c>
      <c r="F8" s="9">
        <v>6</v>
      </c>
      <c r="G8" s="9">
        <v>7</v>
      </c>
      <c r="H8" s="9">
        <v>8</v>
      </c>
      <c r="I8" s="9">
        <v>9</v>
      </c>
      <c r="J8" s="9">
        <v>10</v>
      </c>
      <c r="K8" s="9">
        <v>11</v>
      </c>
      <c r="L8" s="9">
        <v>12</v>
      </c>
      <c r="M8" s="9">
        <v>13</v>
      </c>
      <c r="N8" s="9">
        <v>14</v>
      </c>
      <c r="O8" s="9">
        <v>15</v>
      </c>
      <c r="P8" s="9">
        <v>16</v>
      </c>
      <c r="Q8" s="9">
        <v>17</v>
      </c>
      <c r="R8" s="9">
        <v>18</v>
      </c>
      <c r="S8" s="9">
        <v>19</v>
      </c>
      <c r="T8" s="9">
        <v>20</v>
      </c>
    </row>
    <row r="9" spans="1:20" ht="57.75" customHeight="1" x14ac:dyDescent="0.25">
      <c r="A9" s="9">
        <v>1</v>
      </c>
      <c r="B9" s="13" t="s">
        <v>214</v>
      </c>
      <c r="C9" s="10" t="s">
        <v>5</v>
      </c>
      <c r="D9" s="10" t="s">
        <v>5</v>
      </c>
      <c r="E9" s="10">
        <v>0</v>
      </c>
      <c r="F9" s="10">
        <f>'2.1.'!D16</f>
        <v>0</v>
      </c>
      <c r="G9" s="10" t="s">
        <v>5</v>
      </c>
      <c r="H9" s="10" t="s">
        <v>5</v>
      </c>
      <c r="I9" s="10">
        <v>0</v>
      </c>
      <c r="J9" s="10">
        <f>'2.1.'!D21</f>
        <v>0</v>
      </c>
      <c r="K9" s="130" t="s">
        <v>213</v>
      </c>
      <c r="L9" s="131"/>
      <c r="M9" s="131"/>
      <c r="N9" s="131"/>
      <c r="O9" s="131"/>
      <c r="P9" s="131"/>
      <c r="Q9" s="131"/>
      <c r="R9" s="132"/>
      <c r="S9" s="10">
        <v>0</v>
      </c>
      <c r="T9" s="10"/>
    </row>
    <row r="10" spans="1:20" ht="62.4" x14ac:dyDescent="0.25">
      <c r="A10" s="9">
        <v>2</v>
      </c>
      <c r="B10" s="13" t="s">
        <v>58</v>
      </c>
      <c r="C10" s="10" t="s">
        <v>5</v>
      </c>
      <c r="D10" s="10" t="s">
        <v>5</v>
      </c>
      <c r="E10" s="10">
        <v>0</v>
      </c>
      <c r="F10" s="10">
        <v>0</v>
      </c>
      <c r="G10" s="10" t="s">
        <v>5</v>
      </c>
      <c r="H10" s="10" t="s">
        <v>5</v>
      </c>
      <c r="I10" s="10">
        <v>0</v>
      </c>
      <c r="J10" s="10">
        <v>0</v>
      </c>
      <c r="K10" s="17"/>
      <c r="L10" s="17"/>
      <c r="M10" s="17"/>
      <c r="N10" s="17"/>
      <c r="O10" s="17"/>
      <c r="P10" s="17"/>
      <c r="Q10" s="17"/>
      <c r="R10" s="17"/>
      <c r="S10" s="10"/>
      <c r="T10" s="10"/>
    </row>
    <row r="11" spans="1:20" ht="14.4" x14ac:dyDescent="0.3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</row>
    <row r="12" spans="1:20" ht="14.4" x14ac:dyDescent="0.3">
      <c r="A12" s="8"/>
      <c r="B12" s="8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</row>
  </sheetData>
  <mergeCells count="10">
    <mergeCell ref="K9:R9"/>
    <mergeCell ref="A3:T3"/>
    <mergeCell ref="A5:A7"/>
    <mergeCell ref="B5:B7"/>
    <mergeCell ref="C5:F6"/>
    <mergeCell ref="G5:J6"/>
    <mergeCell ref="K5:N6"/>
    <mergeCell ref="O5:R6"/>
    <mergeCell ref="S5:S7"/>
    <mergeCell ref="T5:T7"/>
  </mergeCells>
  <printOptions horizontalCentered="1"/>
  <pageMargins left="0.11811023622047245" right="0.11811023622047245" top="0.74803149606299213" bottom="0.35433070866141736" header="0.11811023622047245" footer="0"/>
  <pageSetup paperSize="9" scale="66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C15"/>
  <sheetViews>
    <sheetView view="pageBreakPreview" zoomScale="90" zoomScaleNormal="100" zoomScaleSheetLayoutView="90" workbookViewId="0">
      <selection activeCell="B10" sqref="B10"/>
    </sheetView>
  </sheetViews>
  <sheetFormatPr defaultRowHeight="13.2" x14ac:dyDescent="0.25"/>
  <cols>
    <col min="1" max="1" width="6.33203125" customWidth="1"/>
    <col min="2" max="2" width="74.33203125" customWidth="1"/>
    <col min="3" max="3" width="18.33203125" customWidth="1"/>
  </cols>
  <sheetData>
    <row r="3" spans="1:3" ht="43.5" customHeight="1" x14ac:dyDescent="0.25">
      <c r="A3" s="119" t="s">
        <v>209</v>
      </c>
      <c r="B3" s="119"/>
      <c r="C3" s="119"/>
    </row>
    <row r="4" spans="1:3" ht="17.399999999999999" x14ac:dyDescent="0.25">
      <c r="A4" s="164" t="s">
        <v>214</v>
      </c>
      <c r="B4" s="164"/>
      <c r="C4" s="164"/>
    </row>
    <row r="5" spans="1:3" x14ac:dyDescent="0.25">
      <c r="A5" s="1"/>
      <c r="B5" s="25"/>
      <c r="C5" s="1"/>
    </row>
    <row r="6" spans="1:3" ht="18.75" customHeight="1" x14ac:dyDescent="0.25">
      <c r="A6" s="116" t="s">
        <v>60</v>
      </c>
      <c r="B6" s="116" t="s">
        <v>263</v>
      </c>
      <c r="C6" s="116" t="s">
        <v>262</v>
      </c>
    </row>
    <row r="7" spans="1:3" ht="6" customHeight="1" x14ac:dyDescent="0.25">
      <c r="A7" s="116"/>
      <c r="B7" s="116"/>
      <c r="C7" s="116"/>
    </row>
    <row r="8" spans="1:3" ht="23.25" customHeight="1" x14ac:dyDescent="0.25">
      <c r="A8" s="116"/>
      <c r="B8" s="116"/>
      <c r="C8" s="116"/>
    </row>
    <row r="9" spans="1:3" ht="15.6" x14ac:dyDescent="0.25">
      <c r="A9" s="6">
        <v>1</v>
      </c>
      <c r="B9" s="6">
        <v>2</v>
      </c>
      <c r="C9" s="4">
        <v>3</v>
      </c>
    </row>
    <row r="10" spans="1:3" ht="20.399999999999999" customHeight="1" x14ac:dyDescent="0.25">
      <c r="A10" s="52"/>
      <c r="B10" s="165" t="s">
        <v>5</v>
      </c>
      <c r="C10" s="53" t="s">
        <v>5</v>
      </c>
    </row>
    <row r="11" spans="1:3" ht="71.25" hidden="1" customHeight="1" x14ac:dyDescent="0.25">
      <c r="A11" s="4"/>
      <c r="B11" s="5"/>
      <c r="C11" s="4"/>
    </row>
    <row r="12" spans="1:3" ht="29.25" hidden="1" customHeight="1" x14ac:dyDescent="0.25">
      <c r="A12" s="4"/>
      <c r="B12" s="5"/>
      <c r="C12" s="45"/>
    </row>
    <row r="13" spans="1:3" ht="15.6" hidden="1" x14ac:dyDescent="0.25">
      <c r="A13" s="4"/>
      <c r="B13" s="6"/>
      <c r="C13" s="4"/>
    </row>
    <row r="14" spans="1:3" hidden="1" x14ac:dyDescent="0.25"/>
    <row r="15" spans="1:3" hidden="1" x14ac:dyDescent="0.25"/>
  </sheetData>
  <mergeCells count="5">
    <mergeCell ref="A4:C4"/>
    <mergeCell ref="A6:A8"/>
    <mergeCell ref="B6:B8"/>
    <mergeCell ref="C6:C8"/>
    <mergeCell ref="A3:C3"/>
  </mergeCells>
  <printOptions horizontalCentered="1"/>
  <pageMargins left="0.70866141732283472" right="0.23622047244094491" top="0.35433070866141736" bottom="0.35433070866141736" header="0" footer="0"/>
  <pageSetup paperSize="9" scale="9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view="pageBreakPreview" zoomScaleNormal="100" zoomScaleSheetLayoutView="100" workbookViewId="0">
      <selection activeCell="A3" sqref="A3"/>
    </sheetView>
  </sheetViews>
  <sheetFormatPr defaultRowHeight="13.2" x14ac:dyDescent="0.25"/>
  <cols>
    <col min="1" max="1" width="93.5546875" customWidth="1"/>
  </cols>
  <sheetData>
    <row r="2" spans="1:1" ht="101.4" customHeight="1" x14ac:dyDescent="0.25">
      <c r="A2" s="51" t="s">
        <v>215</v>
      </c>
    </row>
  </sheetData>
  <printOptions horizontalCentered="1"/>
  <pageMargins left="0.9055118110236221" right="0.31496062992125984" top="0.74803149606299213" bottom="0.74803149606299213" header="0.31496062992125984" footer="0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3:S93"/>
  <sheetViews>
    <sheetView view="pageBreakPreview" topLeftCell="A72" zoomScaleNormal="100" zoomScaleSheetLayoutView="100" workbookViewId="0">
      <selection activeCell="B98" sqref="B98"/>
    </sheetView>
  </sheetViews>
  <sheetFormatPr defaultRowHeight="13.2" x14ac:dyDescent="0.25"/>
  <cols>
    <col min="1" max="1" width="23.88671875" style="1" customWidth="1"/>
    <col min="2" max="2" width="34.5546875" style="1" customWidth="1"/>
    <col min="3" max="3" width="22.44140625" style="1" customWidth="1"/>
    <col min="4" max="4" width="15.109375" style="1" customWidth="1"/>
    <col min="5" max="5" width="13.33203125" style="187" customWidth="1"/>
    <col min="6" max="6" width="3.5546875" style="1" customWidth="1"/>
    <col min="7" max="16384" width="8.88671875" style="1"/>
  </cols>
  <sheetData>
    <row r="3" spans="1:19" ht="18" x14ac:dyDescent="0.35">
      <c r="A3" s="136" t="s">
        <v>61</v>
      </c>
      <c r="B3" s="136"/>
      <c r="C3" s="136"/>
      <c r="D3" s="136"/>
      <c r="E3" s="136"/>
      <c r="F3" s="23"/>
    </row>
    <row r="4" spans="1:19" ht="15.6" x14ac:dyDescent="0.3">
      <c r="A4" s="28"/>
      <c r="B4" s="28"/>
      <c r="C4" s="28"/>
      <c r="D4" s="28"/>
    </row>
    <row r="5" spans="1:19" ht="15.6" x14ac:dyDescent="0.3">
      <c r="A5" s="28"/>
      <c r="B5" s="28"/>
      <c r="C5" s="28"/>
      <c r="D5" s="28"/>
    </row>
    <row r="6" spans="1:19" ht="21" customHeight="1" x14ac:dyDescent="0.25">
      <c r="A6" s="135" t="s">
        <v>63</v>
      </c>
      <c r="B6" s="135"/>
      <c r="C6" s="135"/>
      <c r="D6" s="135"/>
      <c r="E6" s="135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</row>
    <row r="8" spans="1:19" ht="69.75" customHeight="1" x14ac:dyDescent="0.25">
      <c r="A8" s="43" t="s">
        <v>194</v>
      </c>
      <c r="B8" s="43" t="s">
        <v>195</v>
      </c>
      <c r="C8" s="43" t="s">
        <v>196</v>
      </c>
      <c r="D8" s="43" t="s">
        <v>354</v>
      </c>
      <c r="E8" s="43" t="s">
        <v>355</v>
      </c>
    </row>
    <row r="9" spans="1:19" x14ac:dyDescent="0.25">
      <c r="A9" s="167" t="s">
        <v>266</v>
      </c>
      <c r="B9" s="167" t="s">
        <v>335</v>
      </c>
      <c r="C9" s="56">
        <v>6</v>
      </c>
      <c r="D9" s="56">
        <v>2</v>
      </c>
      <c r="E9" s="178">
        <v>100</v>
      </c>
    </row>
    <row r="10" spans="1:19" x14ac:dyDescent="0.25">
      <c r="A10" s="167" t="s">
        <v>267</v>
      </c>
      <c r="B10" s="167" t="s">
        <v>335</v>
      </c>
      <c r="C10" s="56">
        <v>6</v>
      </c>
      <c r="D10" s="56">
        <v>2</v>
      </c>
      <c r="E10" s="178">
        <v>300</v>
      </c>
    </row>
    <row r="11" spans="1:19" x14ac:dyDescent="0.25">
      <c r="A11" s="167" t="s">
        <v>268</v>
      </c>
      <c r="B11" s="167" t="s">
        <v>335</v>
      </c>
      <c r="C11" s="56">
        <v>6</v>
      </c>
      <c r="D11" s="56">
        <v>2</v>
      </c>
      <c r="E11" s="178">
        <v>200</v>
      </c>
    </row>
    <row r="12" spans="1:19" x14ac:dyDescent="0.25">
      <c r="A12" s="167" t="s">
        <v>269</v>
      </c>
      <c r="B12" s="167" t="s">
        <v>335</v>
      </c>
      <c r="C12" s="56">
        <v>6</v>
      </c>
      <c r="D12" s="56">
        <v>22</v>
      </c>
      <c r="E12" s="178">
        <v>300</v>
      </c>
    </row>
    <row r="13" spans="1:19" x14ac:dyDescent="0.25">
      <c r="A13" s="167" t="s">
        <v>270</v>
      </c>
      <c r="B13" s="167" t="s">
        <v>335</v>
      </c>
      <c r="C13" s="56">
        <v>6</v>
      </c>
      <c r="D13" s="56">
        <v>2</v>
      </c>
      <c r="E13" s="178">
        <v>100</v>
      </c>
    </row>
    <row r="14" spans="1:19" x14ac:dyDescent="0.25">
      <c r="A14" s="167" t="s">
        <v>271</v>
      </c>
      <c r="B14" s="167" t="s">
        <v>335</v>
      </c>
      <c r="C14" s="56">
        <v>6</v>
      </c>
      <c r="D14" s="56">
        <v>2</v>
      </c>
      <c r="E14" s="178">
        <v>100</v>
      </c>
    </row>
    <row r="15" spans="1:19" ht="26.4" x14ac:dyDescent="0.25">
      <c r="A15" s="167" t="s">
        <v>199</v>
      </c>
      <c r="B15" s="167" t="s">
        <v>336</v>
      </c>
      <c r="C15" s="56">
        <v>10</v>
      </c>
      <c r="D15" s="56">
        <v>3.2</v>
      </c>
      <c r="E15" s="178">
        <v>0</v>
      </c>
    </row>
    <row r="16" spans="1:19" ht="26.4" x14ac:dyDescent="0.25">
      <c r="A16" s="167" t="s">
        <v>198</v>
      </c>
      <c r="B16" s="167" t="s">
        <v>336</v>
      </c>
      <c r="C16" s="56">
        <v>10</v>
      </c>
      <c r="D16" s="57">
        <v>3.2</v>
      </c>
      <c r="E16" s="178">
        <v>0</v>
      </c>
    </row>
    <row r="17" spans="1:5" ht="26.4" x14ac:dyDescent="0.25">
      <c r="A17" s="167" t="s">
        <v>197</v>
      </c>
      <c r="B17" s="167" t="s">
        <v>336</v>
      </c>
      <c r="C17" s="56">
        <v>10</v>
      </c>
      <c r="D17" s="57">
        <v>3.2</v>
      </c>
      <c r="E17" s="178">
        <v>0</v>
      </c>
    </row>
    <row r="18" spans="1:5" ht="26.4" x14ac:dyDescent="0.25">
      <c r="A18" s="167" t="s">
        <v>272</v>
      </c>
      <c r="B18" s="167" t="s">
        <v>337</v>
      </c>
      <c r="C18" s="56">
        <v>10</v>
      </c>
      <c r="D18" s="57">
        <v>2</v>
      </c>
      <c r="E18" s="178">
        <v>100</v>
      </c>
    </row>
    <row r="19" spans="1:5" ht="26.4" x14ac:dyDescent="0.25">
      <c r="A19" s="167" t="s">
        <v>273</v>
      </c>
      <c r="B19" s="167" t="s">
        <v>337</v>
      </c>
      <c r="C19" s="56">
        <v>10</v>
      </c>
      <c r="D19" s="57">
        <v>2</v>
      </c>
      <c r="E19" s="178">
        <v>300</v>
      </c>
    </row>
    <row r="20" spans="1:5" ht="26.4" x14ac:dyDescent="0.25">
      <c r="A20" s="167" t="s">
        <v>274</v>
      </c>
      <c r="B20" s="167" t="s">
        <v>337</v>
      </c>
      <c r="C20" s="56">
        <v>10</v>
      </c>
      <c r="D20" s="57">
        <v>0.5</v>
      </c>
      <c r="E20" s="178">
        <v>0</v>
      </c>
    </row>
    <row r="21" spans="1:5" ht="26.4" x14ac:dyDescent="0.25">
      <c r="A21" s="167" t="s">
        <v>275</v>
      </c>
      <c r="B21" s="167" t="s">
        <v>337</v>
      </c>
      <c r="C21" s="56">
        <v>10</v>
      </c>
      <c r="D21" s="57">
        <v>0.5</v>
      </c>
      <c r="E21" s="178">
        <v>0</v>
      </c>
    </row>
    <row r="22" spans="1:5" ht="26.4" x14ac:dyDescent="0.25">
      <c r="A22" s="167" t="s">
        <v>276</v>
      </c>
      <c r="B22" s="167" t="s">
        <v>337</v>
      </c>
      <c r="C22" s="56">
        <v>10</v>
      </c>
      <c r="D22" s="57">
        <v>0.5</v>
      </c>
      <c r="E22" s="178">
        <v>0</v>
      </c>
    </row>
    <row r="23" spans="1:5" ht="39.6" x14ac:dyDescent="0.25">
      <c r="A23" s="167" t="s">
        <v>277</v>
      </c>
      <c r="B23" s="167" t="s">
        <v>337</v>
      </c>
      <c r="C23" s="56">
        <v>10</v>
      </c>
      <c r="D23" s="57">
        <v>0.5</v>
      </c>
      <c r="E23" s="178">
        <v>0</v>
      </c>
    </row>
    <row r="24" spans="1:5" ht="26.4" x14ac:dyDescent="0.25">
      <c r="A24" s="167" t="s">
        <v>278</v>
      </c>
      <c r="B24" s="167" t="s">
        <v>337</v>
      </c>
      <c r="C24" s="56">
        <v>10</v>
      </c>
      <c r="D24" s="57">
        <v>0.5</v>
      </c>
      <c r="E24" s="178">
        <v>0</v>
      </c>
    </row>
    <row r="25" spans="1:5" ht="26.4" x14ac:dyDescent="0.25">
      <c r="A25" s="167" t="s">
        <v>279</v>
      </c>
      <c r="B25" s="167" t="s">
        <v>337</v>
      </c>
      <c r="C25" s="56">
        <v>10</v>
      </c>
      <c r="D25" s="57">
        <v>0.8</v>
      </c>
      <c r="E25" s="178">
        <v>0</v>
      </c>
    </row>
    <row r="26" spans="1:5" ht="26.4" x14ac:dyDescent="0.25">
      <c r="A26" s="167" t="s">
        <v>280</v>
      </c>
      <c r="B26" s="167" t="s">
        <v>337</v>
      </c>
      <c r="C26" s="56">
        <v>10</v>
      </c>
      <c r="D26" s="57">
        <v>0.4</v>
      </c>
      <c r="E26" s="178">
        <v>0</v>
      </c>
    </row>
    <row r="27" spans="1:5" ht="26.4" x14ac:dyDescent="0.25">
      <c r="A27" s="167" t="s">
        <v>281</v>
      </c>
      <c r="B27" s="167" t="s">
        <v>337</v>
      </c>
      <c r="C27" s="56">
        <v>10</v>
      </c>
      <c r="D27" s="57">
        <v>0.4</v>
      </c>
      <c r="E27" s="178">
        <v>0</v>
      </c>
    </row>
    <row r="28" spans="1:5" ht="26.4" x14ac:dyDescent="0.25">
      <c r="A28" s="167" t="s">
        <v>282</v>
      </c>
      <c r="B28" s="167" t="s">
        <v>337</v>
      </c>
      <c r="C28" s="56">
        <v>10</v>
      </c>
      <c r="D28" s="57">
        <v>0.8</v>
      </c>
      <c r="E28" s="178">
        <v>0</v>
      </c>
    </row>
    <row r="29" spans="1:5" ht="26.4" x14ac:dyDescent="0.25">
      <c r="A29" s="167" t="s">
        <v>283</v>
      </c>
      <c r="B29" s="167" t="s">
        <v>337</v>
      </c>
      <c r="C29" s="56">
        <v>10</v>
      </c>
      <c r="D29" s="57">
        <v>1.26</v>
      </c>
      <c r="E29" s="178">
        <v>0</v>
      </c>
    </row>
    <row r="30" spans="1:5" ht="26.4" x14ac:dyDescent="0.25">
      <c r="A30" s="167" t="s">
        <v>284</v>
      </c>
      <c r="B30" s="167" t="s">
        <v>337</v>
      </c>
      <c r="C30" s="56">
        <v>10</v>
      </c>
      <c r="D30" s="57">
        <v>2</v>
      </c>
      <c r="E30" s="178">
        <v>0</v>
      </c>
    </row>
    <row r="31" spans="1:5" ht="26.4" x14ac:dyDescent="0.25">
      <c r="A31" s="167" t="s">
        <v>285</v>
      </c>
      <c r="B31" s="167" t="s">
        <v>337</v>
      </c>
      <c r="C31" s="56">
        <v>10</v>
      </c>
      <c r="D31" s="57">
        <v>3.2</v>
      </c>
      <c r="E31" s="178">
        <v>0</v>
      </c>
    </row>
    <row r="32" spans="1:5" ht="26.4" x14ac:dyDescent="0.25">
      <c r="A32" s="167" t="s">
        <v>286</v>
      </c>
      <c r="B32" s="167" t="s">
        <v>337</v>
      </c>
      <c r="C32" s="56">
        <v>10</v>
      </c>
      <c r="D32" s="57">
        <v>1.26</v>
      </c>
      <c r="E32" s="178">
        <v>0</v>
      </c>
    </row>
    <row r="33" spans="1:5" ht="26.4" x14ac:dyDescent="0.25">
      <c r="A33" s="167" t="s">
        <v>287</v>
      </c>
      <c r="B33" s="167" t="s">
        <v>337</v>
      </c>
      <c r="C33" s="56">
        <v>10</v>
      </c>
      <c r="D33" s="57">
        <v>1.26</v>
      </c>
      <c r="E33" s="178">
        <v>0</v>
      </c>
    </row>
    <row r="34" spans="1:5" ht="26.4" x14ac:dyDescent="0.25">
      <c r="A34" s="167" t="s">
        <v>288</v>
      </c>
      <c r="B34" s="167" t="s">
        <v>337</v>
      </c>
      <c r="C34" s="56">
        <v>10</v>
      </c>
      <c r="D34" s="57">
        <v>1.26</v>
      </c>
      <c r="E34" s="178">
        <v>0</v>
      </c>
    </row>
    <row r="35" spans="1:5" ht="26.4" x14ac:dyDescent="0.25">
      <c r="A35" s="167" t="s">
        <v>289</v>
      </c>
      <c r="B35" s="167" t="s">
        <v>337</v>
      </c>
      <c r="C35" s="56">
        <v>10</v>
      </c>
      <c r="D35" s="57">
        <v>1.26</v>
      </c>
      <c r="E35" s="178">
        <v>0</v>
      </c>
    </row>
    <row r="36" spans="1:5" ht="26.4" x14ac:dyDescent="0.25">
      <c r="A36" s="167" t="s">
        <v>290</v>
      </c>
      <c r="B36" s="167" t="s">
        <v>337</v>
      </c>
      <c r="C36" s="56">
        <v>10</v>
      </c>
      <c r="D36" s="57">
        <v>0.5</v>
      </c>
      <c r="E36" s="178">
        <v>0</v>
      </c>
    </row>
    <row r="37" spans="1:5" x14ac:dyDescent="0.25">
      <c r="A37" s="167" t="s">
        <v>291</v>
      </c>
      <c r="B37" s="167" t="s">
        <v>338</v>
      </c>
      <c r="C37" s="56">
        <v>6</v>
      </c>
      <c r="D37" s="57">
        <v>0.25</v>
      </c>
      <c r="E37" s="178">
        <v>75</v>
      </c>
    </row>
    <row r="38" spans="1:5" ht="13.2" customHeight="1" x14ac:dyDescent="0.25">
      <c r="A38" s="147" t="s">
        <v>292</v>
      </c>
      <c r="B38" s="173" t="s">
        <v>339</v>
      </c>
      <c r="C38" s="56">
        <v>6</v>
      </c>
      <c r="D38" s="57">
        <v>0.65</v>
      </c>
      <c r="E38" s="179">
        <v>0</v>
      </c>
    </row>
    <row r="39" spans="1:5" ht="13.2" customHeight="1" x14ac:dyDescent="0.25">
      <c r="A39" s="149"/>
      <c r="B39" s="173"/>
      <c r="C39" s="56"/>
      <c r="D39" s="57"/>
      <c r="E39" s="179"/>
    </row>
    <row r="40" spans="1:5" ht="13.2" customHeight="1" x14ac:dyDescent="0.25">
      <c r="A40" s="168" t="s">
        <v>293</v>
      </c>
      <c r="B40" s="173" t="s">
        <v>339</v>
      </c>
      <c r="C40" s="56">
        <v>6</v>
      </c>
      <c r="D40" s="57">
        <v>1.26</v>
      </c>
      <c r="E40" s="179">
        <v>166</v>
      </c>
    </row>
    <row r="41" spans="1:5" ht="13.2" customHeight="1" x14ac:dyDescent="0.25">
      <c r="A41" s="168"/>
      <c r="B41" s="173"/>
      <c r="C41" s="56"/>
      <c r="D41" s="57"/>
      <c r="E41" s="179"/>
    </row>
    <row r="42" spans="1:5" ht="13.8" x14ac:dyDescent="0.25">
      <c r="A42" s="169" t="s">
        <v>294</v>
      </c>
      <c r="B42" s="173" t="s">
        <v>340</v>
      </c>
      <c r="C42" s="56">
        <v>10</v>
      </c>
      <c r="D42" s="57">
        <v>0.4</v>
      </c>
      <c r="E42" s="180">
        <v>100</v>
      </c>
    </row>
    <row r="43" spans="1:5" ht="13.8" x14ac:dyDescent="0.25">
      <c r="A43" s="169" t="s">
        <v>295</v>
      </c>
      <c r="B43" s="173"/>
      <c r="C43" s="56">
        <v>10</v>
      </c>
      <c r="D43" s="57">
        <v>0.4</v>
      </c>
      <c r="E43" s="180">
        <v>186</v>
      </c>
    </row>
    <row r="44" spans="1:5" ht="13.8" x14ac:dyDescent="0.25">
      <c r="A44" s="169" t="s">
        <v>296</v>
      </c>
      <c r="B44" s="173"/>
      <c r="C44" s="56">
        <v>10</v>
      </c>
      <c r="D44" s="57">
        <v>0.4</v>
      </c>
      <c r="E44" s="180">
        <v>222</v>
      </c>
    </row>
    <row r="45" spans="1:5" ht="13.8" x14ac:dyDescent="0.25">
      <c r="A45" s="169" t="s">
        <v>297</v>
      </c>
      <c r="B45" s="173"/>
      <c r="C45" s="56">
        <v>10</v>
      </c>
      <c r="D45" s="57">
        <v>0.4</v>
      </c>
      <c r="E45" s="180">
        <v>139</v>
      </c>
    </row>
    <row r="46" spans="1:5" ht="13.8" x14ac:dyDescent="0.25">
      <c r="A46" s="169" t="s">
        <v>298</v>
      </c>
      <c r="B46" s="173"/>
      <c r="C46" s="56">
        <v>10</v>
      </c>
      <c r="D46" s="57">
        <v>0.4</v>
      </c>
      <c r="E46" s="180">
        <v>0</v>
      </c>
    </row>
    <row r="47" spans="1:5" ht="13.8" x14ac:dyDescent="0.25">
      <c r="A47" s="169" t="s">
        <v>299</v>
      </c>
      <c r="B47" s="173"/>
      <c r="C47" s="56">
        <v>10</v>
      </c>
      <c r="D47" s="57">
        <v>0.4</v>
      </c>
      <c r="E47" s="180">
        <v>0</v>
      </c>
    </row>
    <row r="48" spans="1:5" ht="13.8" x14ac:dyDescent="0.25">
      <c r="A48" s="169" t="s">
        <v>300</v>
      </c>
      <c r="B48" s="173"/>
      <c r="C48" s="56">
        <v>10</v>
      </c>
      <c r="D48" s="57">
        <v>0.4</v>
      </c>
      <c r="E48" s="180">
        <v>68</v>
      </c>
    </row>
    <row r="49" spans="1:8" ht="13.8" x14ac:dyDescent="0.25">
      <c r="A49" s="169" t="s">
        <v>301</v>
      </c>
      <c r="B49" s="173"/>
      <c r="C49" s="56">
        <v>10</v>
      </c>
      <c r="D49" s="57">
        <v>0.1</v>
      </c>
      <c r="E49" s="180">
        <v>208</v>
      </c>
    </row>
    <row r="50" spans="1:8" ht="13.8" x14ac:dyDescent="0.25">
      <c r="A50" s="169" t="s">
        <v>302</v>
      </c>
      <c r="B50" s="173"/>
      <c r="C50" s="56">
        <v>10</v>
      </c>
      <c r="D50" s="57">
        <v>0.4</v>
      </c>
      <c r="E50" s="180">
        <v>23</v>
      </c>
    </row>
    <row r="51" spans="1:8" ht="13.8" x14ac:dyDescent="0.25">
      <c r="A51" s="169" t="s">
        <v>303</v>
      </c>
      <c r="B51" s="173"/>
      <c r="C51" s="56">
        <v>10</v>
      </c>
      <c r="D51" s="57">
        <v>0.16</v>
      </c>
      <c r="E51" s="180">
        <v>23</v>
      </c>
    </row>
    <row r="52" spans="1:8" ht="26.4" x14ac:dyDescent="0.25">
      <c r="A52" s="169" t="s">
        <v>304</v>
      </c>
      <c r="B52" s="173"/>
      <c r="C52" s="56">
        <v>10</v>
      </c>
      <c r="D52" s="57">
        <v>0.16</v>
      </c>
      <c r="E52" s="180">
        <v>40</v>
      </c>
    </row>
    <row r="53" spans="1:8" ht="13.8" x14ac:dyDescent="0.25">
      <c r="A53" s="169" t="s">
        <v>305</v>
      </c>
      <c r="B53" s="173"/>
      <c r="C53" s="56">
        <v>10</v>
      </c>
      <c r="D53" s="57">
        <v>0.06</v>
      </c>
      <c r="E53" s="180">
        <v>23</v>
      </c>
    </row>
    <row r="54" spans="1:8" ht="26.4" x14ac:dyDescent="0.25">
      <c r="A54" s="169" t="s">
        <v>306</v>
      </c>
      <c r="B54" s="173"/>
      <c r="C54" s="56">
        <v>10</v>
      </c>
      <c r="D54" s="57">
        <v>0.16</v>
      </c>
      <c r="E54" s="180">
        <v>58</v>
      </c>
      <c r="H54" s="188"/>
    </row>
    <row r="55" spans="1:8" ht="26.4" x14ac:dyDescent="0.25">
      <c r="A55" s="169" t="s">
        <v>307</v>
      </c>
      <c r="B55" s="173"/>
      <c r="C55" s="56">
        <v>10</v>
      </c>
      <c r="D55" s="57">
        <v>0.16</v>
      </c>
      <c r="E55" s="180">
        <v>0</v>
      </c>
      <c r="H55" s="188"/>
    </row>
    <row r="56" spans="1:8" ht="26.4" x14ac:dyDescent="0.25">
      <c r="A56" s="169" t="s">
        <v>308</v>
      </c>
      <c r="B56" s="173"/>
      <c r="C56" s="56">
        <v>10</v>
      </c>
      <c r="D56" s="57">
        <v>0.16</v>
      </c>
      <c r="E56" s="180">
        <v>57</v>
      </c>
      <c r="H56" s="188"/>
    </row>
    <row r="57" spans="1:8" ht="26.4" x14ac:dyDescent="0.25">
      <c r="A57" s="169" t="s">
        <v>309</v>
      </c>
      <c r="B57" s="173"/>
      <c r="C57" s="56">
        <v>10</v>
      </c>
      <c r="D57" s="57">
        <v>0.1</v>
      </c>
      <c r="E57" s="180">
        <v>0</v>
      </c>
    </row>
    <row r="58" spans="1:8" ht="13.8" x14ac:dyDescent="0.25">
      <c r="A58" s="169" t="s">
        <v>310</v>
      </c>
      <c r="B58" s="173"/>
      <c r="C58" s="56">
        <v>10</v>
      </c>
      <c r="D58" s="57">
        <v>0.4</v>
      </c>
      <c r="E58" s="180">
        <v>0</v>
      </c>
    </row>
    <row r="59" spans="1:8" ht="13.8" x14ac:dyDescent="0.25">
      <c r="A59" s="169" t="s">
        <v>311</v>
      </c>
      <c r="B59" s="173"/>
      <c r="C59" s="56">
        <v>10</v>
      </c>
      <c r="D59" s="57">
        <v>0.4</v>
      </c>
      <c r="E59" s="180">
        <v>244</v>
      </c>
    </row>
    <row r="60" spans="1:8" ht="13.8" x14ac:dyDescent="0.25">
      <c r="A60" s="169" t="s">
        <v>312</v>
      </c>
      <c r="B60" s="173"/>
      <c r="C60" s="56">
        <v>10</v>
      </c>
      <c r="D60" s="57">
        <v>0.4</v>
      </c>
      <c r="E60" s="180">
        <v>68</v>
      </c>
    </row>
    <row r="61" spans="1:8" ht="13.8" x14ac:dyDescent="0.25">
      <c r="A61" s="169" t="s">
        <v>313</v>
      </c>
      <c r="B61" s="173"/>
      <c r="C61" s="56">
        <v>10</v>
      </c>
      <c r="D61" s="57">
        <v>0.1</v>
      </c>
      <c r="E61" s="180">
        <v>0</v>
      </c>
    </row>
    <row r="62" spans="1:8" ht="26.4" x14ac:dyDescent="0.25">
      <c r="A62" s="169" t="s">
        <v>314</v>
      </c>
      <c r="B62" s="173"/>
      <c r="C62" s="56">
        <v>10</v>
      </c>
      <c r="D62" s="57">
        <v>0.25</v>
      </c>
      <c r="E62" s="180">
        <v>0</v>
      </c>
    </row>
    <row r="63" spans="1:8" ht="27.6" x14ac:dyDescent="0.25">
      <c r="A63" s="48" t="s">
        <v>315</v>
      </c>
      <c r="B63" s="174" t="s">
        <v>341</v>
      </c>
      <c r="C63" s="56">
        <v>10</v>
      </c>
      <c r="D63" s="57">
        <v>0.63</v>
      </c>
      <c r="E63" s="180">
        <v>183</v>
      </c>
    </row>
    <row r="64" spans="1:8" ht="27.6" x14ac:dyDescent="0.25">
      <c r="A64" s="48" t="s">
        <v>316</v>
      </c>
      <c r="B64" s="175" t="s">
        <v>342</v>
      </c>
      <c r="C64" s="56">
        <v>6</v>
      </c>
      <c r="D64" s="57">
        <v>0.4</v>
      </c>
      <c r="E64" s="180">
        <v>0</v>
      </c>
    </row>
    <row r="65" spans="1:5" ht="46.5" customHeight="1" x14ac:dyDescent="0.25">
      <c r="A65" s="170" t="s">
        <v>317</v>
      </c>
      <c r="B65" s="176" t="s">
        <v>343</v>
      </c>
      <c r="C65" s="56">
        <v>6</v>
      </c>
      <c r="D65" s="57">
        <v>0.4</v>
      </c>
      <c r="E65" s="180">
        <v>40</v>
      </c>
    </row>
    <row r="66" spans="1:5" ht="13.8" x14ac:dyDescent="0.25">
      <c r="A66" s="170" t="s">
        <v>318</v>
      </c>
      <c r="B66" s="176"/>
      <c r="C66" s="46">
        <v>6</v>
      </c>
      <c r="D66" s="103">
        <v>0.25</v>
      </c>
      <c r="E66" s="180">
        <v>35</v>
      </c>
    </row>
    <row r="67" spans="1:5" ht="13.8" x14ac:dyDescent="0.25">
      <c r="A67" s="170" t="s">
        <v>319</v>
      </c>
      <c r="B67" s="174" t="s">
        <v>344</v>
      </c>
      <c r="C67" s="46">
        <v>6</v>
      </c>
      <c r="D67" s="103">
        <v>0.25</v>
      </c>
      <c r="E67" s="180">
        <v>0</v>
      </c>
    </row>
    <row r="68" spans="1:5" x14ac:dyDescent="0.25">
      <c r="A68" s="171" t="s">
        <v>320</v>
      </c>
      <c r="B68" s="173" t="s">
        <v>345</v>
      </c>
      <c r="C68" s="46">
        <v>6</v>
      </c>
      <c r="D68" s="103">
        <v>0.4</v>
      </c>
      <c r="E68" s="181">
        <v>0</v>
      </c>
    </row>
    <row r="69" spans="1:5" x14ac:dyDescent="0.25">
      <c r="A69" s="171"/>
      <c r="B69" s="173"/>
      <c r="C69" s="46">
        <v>6</v>
      </c>
      <c r="D69" s="103">
        <v>0.25</v>
      </c>
      <c r="E69" s="182"/>
    </row>
    <row r="70" spans="1:5" x14ac:dyDescent="0.25">
      <c r="A70" s="171"/>
      <c r="B70" s="173"/>
      <c r="C70" s="46">
        <v>6</v>
      </c>
      <c r="D70" s="103">
        <v>0.4</v>
      </c>
      <c r="E70" s="183"/>
    </row>
    <row r="71" spans="1:5" ht="27.6" x14ac:dyDescent="0.25">
      <c r="A71" s="170" t="s">
        <v>321</v>
      </c>
      <c r="B71" s="174" t="s">
        <v>346</v>
      </c>
      <c r="C71" s="46">
        <v>10</v>
      </c>
      <c r="D71" s="103">
        <v>0.1</v>
      </c>
      <c r="E71" s="180">
        <v>0</v>
      </c>
    </row>
    <row r="72" spans="1:5" x14ac:dyDescent="0.25">
      <c r="A72" s="171" t="s">
        <v>322</v>
      </c>
      <c r="B72" s="173" t="s">
        <v>347</v>
      </c>
      <c r="C72" s="46">
        <v>6</v>
      </c>
      <c r="D72" s="103">
        <v>1.25</v>
      </c>
      <c r="E72" s="184">
        <v>0</v>
      </c>
    </row>
    <row r="73" spans="1:5" x14ac:dyDescent="0.25">
      <c r="A73" s="171"/>
      <c r="B73" s="173"/>
      <c r="C73" s="46">
        <v>6</v>
      </c>
      <c r="D73" s="103">
        <v>1.25</v>
      </c>
      <c r="E73" s="184"/>
    </row>
    <row r="74" spans="1:5" x14ac:dyDescent="0.25">
      <c r="A74" s="171" t="s">
        <v>323</v>
      </c>
      <c r="B74" s="173" t="str">
        <f>B72</f>
        <v>г.Тольятти,  Автозаводское ш., д.2 и д.2А, Автозаводское ш., д.6</v>
      </c>
      <c r="C74" s="46">
        <v>6</v>
      </c>
      <c r="D74" s="103">
        <v>1.25</v>
      </c>
      <c r="E74" s="184">
        <v>303</v>
      </c>
    </row>
    <row r="75" spans="1:5" x14ac:dyDescent="0.25">
      <c r="A75" s="171"/>
      <c r="B75" s="173"/>
      <c r="C75" s="46">
        <v>6</v>
      </c>
      <c r="D75" s="103">
        <v>1.25</v>
      </c>
      <c r="E75" s="184"/>
    </row>
    <row r="76" spans="1:5" ht="27.6" x14ac:dyDescent="0.25">
      <c r="A76" s="170" t="s">
        <v>324</v>
      </c>
      <c r="B76" s="174" t="s">
        <v>348</v>
      </c>
      <c r="C76" s="46">
        <v>6</v>
      </c>
      <c r="D76" s="103">
        <v>0.63</v>
      </c>
      <c r="E76" s="180">
        <v>0</v>
      </c>
    </row>
    <row r="77" spans="1:5" ht="27.6" x14ac:dyDescent="0.25">
      <c r="A77" s="170" t="s">
        <v>325</v>
      </c>
      <c r="B77" s="174" t="s">
        <v>349</v>
      </c>
      <c r="C77" s="46">
        <v>6</v>
      </c>
      <c r="D77" s="103">
        <v>0.25</v>
      </c>
      <c r="E77" s="180">
        <v>42</v>
      </c>
    </row>
    <row r="78" spans="1:5" ht="13.8" x14ac:dyDescent="0.25">
      <c r="A78" s="170" t="s">
        <v>326</v>
      </c>
      <c r="B78" s="174" t="s">
        <v>350</v>
      </c>
      <c r="C78" s="46">
        <v>10</v>
      </c>
      <c r="D78" s="103">
        <v>0.63</v>
      </c>
      <c r="E78" s="180">
        <v>0</v>
      </c>
    </row>
    <row r="79" spans="1:5" ht="13.8" x14ac:dyDescent="0.25">
      <c r="A79" s="170" t="s">
        <v>327</v>
      </c>
      <c r="B79" s="173" t="s">
        <v>351</v>
      </c>
      <c r="C79" s="46">
        <v>6</v>
      </c>
      <c r="D79" s="103">
        <v>0.63</v>
      </c>
      <c r="E79" s="180">
        <v>0</v>
      </c>
    </row>
    <row r="80" spans="1:5" x14ac:dyDescent="0.25">
      <c r="A80" s="171" t="s">
        <v>328</v>
      </c>
      <c r="B80" s="173"/>
      <c r="C80" s="46">
        <v>6</v>
      </c>
      <c r="D80" s="103">
        <v>0.63</v>
      </c>
      <c r="E80" s="181">
        <v>0</v>
      </c>
    </row>
    <row r="81" spans="1:5" x14ac:dyDescent="0.25">
      <c r="A81" s="171"/>
      <c r="B81" s="173"/>
      <c r="C81" s="46">
        <v>6</v>
      </c>
      <c r="D81" s="103">
        <v>0.1</v>
      </c>
      <c r="E81" s="183"/>
    </row>
    <row r="82" spans="1:5" x14ac:dyDescent="0.25">
      <c r="A82" s="171" t="s">
        <v>329</v>
      </c>
      <c r="B82" s="177" t="s">
        <v>352</v>
      </c>
      <c r="C82" s="46">
        <v>10</v>
      </c>
      <c r="D82" s="103">
        <v>1</v>
      </c>
      <c r="E82" s="181">
        <v>10</v>
      </c>
    </row>
    <row r="83" spans="1:5" x14ac:dyDescent="0.25">
      <c r="A83" s="171"/>
      <c r="B83" s="177"/>
      <c r="C83" s="46">
        <v>10</v>
      </c>
      <c r="D83" s="103">
        <v>1</v>
      </c>
      <c r="E83" s="183"/>
    </row>
    <row r="84" spans="1:5" ht="13.8" x14ac:dyDescent="0.25">
      <c r="A84" s="170" t="s">
        <v>330</v>
      </c>
      <c r="B84" s="177"/>
      <c r="C84" s="46">
        <v>10</v>
      </c>
      <c r="D84" s="103">
        <v>0.16</v>
      </c>
      <c r="E84" s="180">
        <v>0</v>
      </c>
    </row>
    <row r="85" spans="1:5" ht="13.8" x14ac:dyDescent="0.25">
      <c r="A85" s="172" t="s">
        <v>331</v>
      </c>
      <c r="B85" s="177"/>
      <c r="C85" s="46">
        <v>10</v>
      </c>
      <c r="D85" s="103">
        <v>6.3E-2</v>
      </c>
      <c r="E85" s="180">
        <v>0</v>
      </c>
    </row>
    <row r="86" spans="1:5" ht="13.8" x14ac:dyDescent="0.25">
      <c r="A86" s="170" t="s">
        <v>332</v>
      </c>
      <c r="B86" s="173" t="s">
        <v>353</v>
      </c>
      <c r="C86" s="46">
        <v>10</v>
      </c>
      <c r="D86" s="103">
        <v>0.4</v>
      </c>
      <c r="E86" s="180">
        <v>240</v>
      </c>
    </row>
    <row r="87" spans="1:5" x14ac:dyDescent="0.25">
      <c r="A87" s="171" t="s">
        <v>333</v>
      </c>
      <c r="B87" s="173"/>
      <c r="C87" s="46">
        <v>10</v>
      </c>
      <c r="D87" s="103">
        <v>1</v>
      </c>
      <c r="E87" s="181">
        <v>0</v>
      </c>
    </row>
    <row r="88" spans="1:5" x14ac:dyDescent="0.25">
      <c r="A88" s="171"/>
      <c r="B88" s="173"/>
      <c r="C88" s="46">
        <v>10</v>
      </c>
      <c r="D88" s="103">
        <v>1</v>
      </c>
      <c r="E88" s="183"/>
    </row>
    <row r="89" spans="1:5" ht="13.8" x14ac:dyDescent="0.25">
      <c r="A89" s="186" t="s">
        <v>334</v>
      </c>
      <c r="B89" s="189"/>
      <c r="C89" s="190"/>
      <c r="D89" s="191">
        <f>SUM(D9:D88)</f>
        <v>86.043000000000021</v>
      </c>
      <c r="E89" s="191">
        <f>SUM(E9:E88)</f>
        <v>4053</v>
      </c>
    </row>
    <row r="90" spans="1:5" ht="21" customHeight="1" x14ac:dyDescent="0.25">
      <c r="A90" s="166" t="s">
        <v>357</v>
      </c>
      <c r="B90" s="174" t="s">
        <v>358</v>
      </c>
      <c r="C90" s="170">
        <v>110</v>
      </c>
      <c r="D90" s="170">
        <v>41</v>
      </c>
      <c r="E90" s="170">
        <v>0</v>
      </c>
    </row>
    <row r="91" spans="1:5" ht="27.6" x14ac:dyDescent="0.25">
      <c r="A91" s="166" t="s">
        <v>359</v>
      </c>
      <c r="B91" s="174" t="s">
        <v>338</v>
      </c>
      <c r="C91" s="170" t="s">
        <v>360</v>
      </c>
      <c r="D91" s="170">
        <v>12.6</v>
      </c>
      <c r="E91" s="170">
        <v>0</v>
      </c>
    </row>
    <row r="92" spans="1:5" ht="25.2" customHeight="1" x14ac:dyDescent="0.25">
      <c r="A92" s="166" t="s">
        <v>361</v>
      </c>
      <c r="B92" s="174" t="s">
        <v>362</v>
      </c>
      <c r="C92" s="170" t="s">
        <v>360</v>
      </c>
      <c r="D92" s="170">
        <v>8.8000000000000007</v>
      </c>
      <c r="E92" s="170">
        <v>0.83599999999999997</v>
      </c>
    </row>
    <row r="93" spans="1:5" ht="13.8" x14ac:dyDescent="0.25">
      <c r="A93" s="186" t="s">
        <v>334</v>
      </c>
      <c r="D93" s="191">
        <f>D90+D91+D92</f>
        <v>62.400000000000006</v>
      </c>
      <c r="E93" s="191">
        <f>E90+E91+E92</f>
        <v>0.83599999999999997</v>
      </c>
    </row>
  </sheetData>
  <mergeCells count="28">
    <mergeCell ref="E87:E88"/>
    <mergeCell ref="E68:E70"/>
    <mergeCell ref="E72:E73"/>
    <mergeCell ref="E74:E75"/>
    <mergeCell ref="E80:E81"/>
    <mergeCell ref="E82:E83"/>
    <mergeCell ref="B42:B62"/>
    <mergeCell ref="B65:B66"/>
    <mergeCell ref="B79:B81"/>
    <mergeCell ref="B82:B85"/>
    <mergeCell ref="B86:B88"/>
    <mergeCell ref="A80:A81"/>
    <mergeCell ref="A82:A83"/>
    <mergeCell ref="A87:A88"/>
    <mergeCell ref="A68:A70"/>
    <mergeCell ref="B68:B70"/>
    <mergeCell ref="A72:A73"/>
    <mergeCell ref="B72:B73"/>
    <mergeCell ref="A74:A75"/>
    <mergeCell ref="B74:B75"/>
    <mergeCell ref="A6:E6"/>
    <mergeCell ref="A3:E3"/>
    <mergeCell ref="A38:A39"/>
    <mergeCell ref="B38:B39"/>
    <mergeCell ref="A40:A41"/>
    <mergeCell ref="B40:B41"/>
    <mergeCell ref="E38:E39"/>
    <mergeCell ref="E40:E41"/>
  </mergeCells>
  <printOptions horizontalCentered="1"/>
  <pageMargins left="0.70866141732283472" right="0.31496062992125984" top="0.74803149606299213" bottom="0.35433070866141736" header="0.31496062992125984" footer="0"/>
  <pageSetup paperSize="9" scale="73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4:M9"/>
  <sheetViews>
    <sheetView view="pageBreakPreview" zoomScale="115" zoomScaleNormal="100" zoomScaleSheetLayoutView="115" workbookViewId="0">
      <selection activeCell="K18" sqref="K18"/>
    </sheetView>
  </sheetViews>
  <sheetFormatPr defaultRowHeight="13.2" x14ac:dyDescent="0.25"/>
  <sheetData>
    <row r="4" spans="1:13" ht="39.75" customHeight="1" x14ac:dyDescent="0.25">
      <c r="A4" s="119" t="s">
        <v>205</v>
      </c>
      <c r="B4" s="119"/>
      <c r="C4" s="119"/>
      <c r="D4" s="119"/>
      <c r="E4" s="119"/>
      <c r="F4" s="119"/>
      <c r="G4" s="119"/>
      <c r="H4" s="119"/>
      <c r="I4" s="119"/>
      <c r="J4" s="119"/>
      <c r="K4" s="51"/>
      <c r="L4" s="51"/>
      <c r="M4" s="51"/>
    </row>
    <row r="5" spans="1:13" ht="15.6" x14ac:dyDescent="0.3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49.5" customHeight="1" x14ac:dyDescent="0.3">
      <c r="A6" s="185" t="s">
        <v>356</v>
      </c>
      <c r="B6" s="185"/>
      <c r="C6" s="185"/>
      <c r="D6" s="185"/>
      <c r="E6" s="185"/>
      <c r="F6" s="185"/>
      <c r="G6" s="185"/>
      <c r="H6" s="185"/>
      <c r="I6" s="185"/>
      <c r="J6" s="185"/>
      <c r="K6" s="26"/>
      <c r="L6" s="26"/>
      <c r="M6" s="26"/>
    </row>
    <row r="7" spans="1:13" ht="15.6" x14ac:dyDescent="0.3">
      <c r="A7" s="28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</row>
    <row r="8" spans="1:13" ht="15.6" x14ac:dyDescent="0.3">
      <c r="A8" s="28"/>
      <c r="B8" s="2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</row>
    <row r="9" spans="1:13" ht="15.6" x14ac:dyDescent="0.3">
      <c r="A9" s="28"/>
    </row>
  </sheetData>
  <mergeCells count="2">
    <mergeCell ref="A4:J4"/>
    <mergeCell ref="A6:J6"/>
  </mergeCells>
  <printOptions horizontalCentered="1"/>
  <pageMargins left="0.97" right="0.11811023622047245" top="0.48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6"/>
  <sheetViews>
    <sheetView view="pageBreakPreview" zoomScale="120" zoomScaleNormal="100" zoomScaleSheetLayoutView="120" workbookViewId="0">
      <selection activeCell="I13" sqref="I13"/>
    </sheetView>
  </sheetViews>
  <sheetFormatPr defaultRowHeight="13.2" x14ac:dyDescent="0.25"/>
  <cols>
    <col min="10" max="10" width="6.109375" customWidth="1"/>
  </cols>
  <sheetData>
    <row r="3" spans="1:13" ht="65.25" customHeight="1" x14ac:dyDescent="0.25">
      <c r="A3" s="119" t="s">
        <v>64</v>
      </c>
      <c r="B3" s="119"/>
      <c r="C3" s="119"/>
      <c r="D3" s="119"/>
      <c r="E3" s="119"/>
      <c r="F3" s="119"/>
      <c r="G3" s="119"/>
      <c r="H3" s="119"/>
      <c r="I3" s="119"/>
      <c r="J3" s="119"/>
      <c r="K3" s="51"/>
      <c r="L3" s="51"/>
      <c r="M3" s="51"/>
    </row>
    <row r="4" spans="1:13" ht="15.6" x14ac:dyDescent="0.3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</row>
    <row r="5" spans="1:13" ht="15.6" x14ac:dyDescent="0.3">
      <c r="A5" s="28" t="s">
        <v>62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ht="15.6" x14ac:dyDescent="0.3">
      <c r="A6" s="28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</row>
  </sheetData>
  <mergeCells count="1">
    <mergeCell ref="A3:J3"/>
  </mergeCells>
  <printOptions horizontalCentered="1"/>
  <pageMargins left="0.91" right="0.11811023622047245" top="0.74803149606299213" bottom="0.74803149606299213" header="0.31496062992125984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7</vt:i4>
      </vt:variant>
    </vt:vector>
  </HeadingPairs>
  <TitlesOfParts>
    <vt:vector size="23" baseType="lpstr">
      <vt:lpstr>1.Общая инф</vt:lpstr>
      <vt:lpstr>1.4.</vt:lpstr>
      <vt:lpstr>2.1.</vt:lpstr>
      <vt:lpstr>2.2.</vt:lpstr>
      <vt:lpstr>2.3.</vt:lpstr>
      <vt:lpstr>2.4.</vt:lpstr>
      <vt:lpstr>3.1.</vt:lpstr>
      <vt:lpstr>3.2.</vt:lpstr>
      <vt:lpstr>3.3.</vt:lpstr>
      <vt:lpstr>3.4.</vt:lpstr>
      <vt:lpstr>3.5. </vt:lpstr>
      <vt:lpstr>4.1.</vt:lpstr>
      <vt:lpstr>4.2.</vt:lpstr>
      <vt:lpstr>4.3.</vt:lpstr>
      <vt:lpstr>4.4.-4.8.</vt:lpstr>
      <vt:lpstr>4.9.</vt:lpstr>
      <vt:lpstr>'2.3.'!Область_печати</vt:lpstr>
      <vt:lpstr>'3.1.'!Область_печати</vt:lpstr>
      <vt:lpstr>'3.2.'!Область_печати</vt:lpstr>
      <vt:lpstr>'3.3.'!Область_печати</vt:lpstr>
      <vt:lpstr>'3.4.'!Область_печати</vt:lpstr>
      <vt:lpstr>'4.4.-4.8.'!Область_печати</vt:lpstr>
      <vt:lpstr>'4.9.'!Область_печати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2024-03-31T12:34:37Z</cp:lastPrinted>
  <dcterms:created xsi:type="dcterms:W3CDTF">2017-11-20T10:43:06Z</dcterms:created>
  <dcterms:modified xsi:type="dcterms:W3CDTF">2024-03-31T14:14:20Z</dcterms:modified>
</cp:coreProperties>
</file>